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神兵均伤计算器" sheetId="1" r:id="rId1"/>
  </sheets>
  <calcPr calcId="144525"/>
</workbook>
</file>

<file path=xl/sharedStrings.xml><?xml version="1.0" encoding="utf-8"?>
<sst xmlns="http://schemas.openxmlformats.org/spreadsheetml/2006/main" count="90" uniqueCount="85">
  <si>
    <t>攻击方</t>
  </si>
  <si>
    <t>项目</t>
  </si>
  <si>
    <t>数值</t>
  </si>
  <si>
    <t>防守方</t>
  </si>
  <si>
    <t>招架力</t>
  </si>
  <si>
    <r>
      <rPr>
        <sz val="10"/>
        <rFont val="宋体"/>
        <charset val="134"/>
      </rPr>
      <t>在有颜色的背景</t>
    </r>
    <r>
      <rPr>
        <sz val="10"/>
        <color rgb="FF000000"/>
        <rFont val="宋体"/>
        <charset val="134"/>
      </rPr>
      <t xml:space="preserve">
进行数据输入</t>
    </r>
  </si>
  <si>
    <t>人物等级</t>
  </si>
  <si>
    <t>闪避力</t>
  </si>
  <si>
    <t>先天臂力</t>
  </si>
  <si>
    <t>先天身法</t>
  </si>
  <si>
    <t>基本拳脚</t>
  </si>
  <si>
    <t>基本轻功</t>
  </si>
  <si>
    <t>战斗招架</t>
  </si>
  <si>
    <t>对应基础武学等级</t>
  </si>
  <si>
    <t>基本招架</t>
  </si>
  <si>
    <t>战斗闪避</t>
  </si>
  <si>
    <t>武学等级</t>
  </si>
  <si>
    <t>轻功等级</t>
  </si>
  <si>
    <t>战斗变量</t>
  </si>
  <si>
    <t>部位系数</t>
  </si>
  <si>
    <t>体力恢复速度</t>
  </si>
  <si>
    <t>武学命中</t>
  </si>
  <si>
    <t>\</t>
  </si>
  <si>
    <t>招架等级</t>
  </si>
  <si>
    <t>招式命中</t>
  </si>
  <si>
    <t>招架系数</t>
  </si>
  <si>
    <t>武器加速</t>
  </si>
  <si>
    <t>武器减速</t>
  </si>
  <si>
    <t>命中增益</t>
  </si>
  <si>
    <t>闪避系数</t>
  </si>
  <si>
    <t>招式招架</t>
  </si>
  <si>
    <t>短刀减速</t>
  </si>
  <si>
    <t>古琴</t>
  </si>
  <si>
    <t>基础轻功</t>
  </si>
  <si>
    <t>招式闪避</t>
  </si>
  <si>
    <t>有效身法</t>
  </si>
  <si>
    <t>招架增益</t>
  </si>
  <si>
    <t>双环加速</t>
  </si>
  <si>
    <t>攻速系数</t>
  </si>
  <si>
    <t>闪避增益</t>
  </si>
  <si>
    <t>防御系数</t>
  </si>
  <si>
    <t>攻击方模板</t>
  </si>
  <si>
    <t>有效臂力</t>
  </si>
  <si>
    <t>准备武学等级</t>
  </si>
  <si>
    <t>人物经验</t>
  </si>
  <si>
    <t>加力值</t>
  </si>
  <si>
    <t>当前内力上限</t>
  </si>
  <si>
    <t>经脉攻击加成</t>
  </si>
  <si>
    <t>武器伤害</t>
  </si>
  <si>
    <t>经脉伤害力</t>
  </si>
  <si>
    <t>武器总伤害</t>
  </si>
  <si>
    <t>刺剑锐劲</t>
  </si>
  <si>
    <t>对剑短刀附伤</t>
  </si>
  <si>
    <t>对剑加命中</t>
  </si>
  <si>
    <t>战戟明劲</t>
  </si>
  <si>
    <t>战戟加攻击</t>
  </si>
  <si>
    <t>双刃斧钝劲</t>
  </si>
  <si>
    <t>九节鞭加攻击</t>
  </si>
  <si>
    <t>九节鞭附伤</t>
  </si>
  <si>
    <t>防守方数据</t>
  </si>
  <si>
    <t>面板防御力</t>
  </si>
  <si>
    <t>面板防护力</t>
  </si>
  <si>
    <t>武学数据</t>
  </si>
  <si>
    <t>攻击系数</t>
  </si>
  <si>
    <t>伤害系数</t>
  </si>
  <si>
    <t>命中系数</t>
  </si>
  <si>
    <t>加力攻击系数</t>
  </si>
  <si>
    <t>加力伤害系数</t>
  </si>
  <si>
    <t>招式平均攻击系数</t>
  </si>
  <si>
    <t>招式平均伤害系数</t>
  </si>
  <si>
    <t>招式平均命中系数</t>
  </si>
  <si>
    <t>招式平均前摇系数</t>
  </si>
  <si>
    <t>招式平均后摇系数</t>
  </si>
  <si>
    <t>每次攻击消耗体力值</t>
  </si>
  <si>
    <t>面板攻击</t>
  </si>
  <si>
    <t>面板伤害</t>
  </si>
  <si>
    <t>每次攻击气血伤害</t>
  </si>
  <si>
    <t>每次攻击气血上限伤害</t>
  </si>
  <si>
    <t>神兵附伤</t>
  </si>
  <si>
    <t>每次攻击总伤害</t>
  </si>
  <si>
    <t>每100体力攻击总伤害</t>
  </si>
  <si>
    <t>命中力</t>
  </si>
  <si>
    <t>战斗命中</t>
  </si>
  <si>
    <t>实际命中率</t>
  </si>
  <si>
    <t>秒伤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</si>
</sst>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.0000%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微软雅黑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FF8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1" fillId="13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2" fillId="0" borderId="8" xfId="0" applyNumberFormat="1" applyFont="1" applyBorder="1" applyProtection="1">
      <alignment vertical="center"/>
    </xf>
    <xf numFmtId="0" fontId="2" fillId="0" borderId="9" xfId="0" applyNumberFormat="1" applyFont="1" applyBorder="1" applyProtection="1">
      <alignment vertical="center"/>
    </xf>
    <xf numFmtId="0" fontId="2" fillId="0" borderId="0" xfId="0" applyNumberFormat="1" applyFont="1">
      <alignment vertical="center"/>
    </xf>
    <xf numFmtId="178" fontId="4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A1" sqref="A1:A14"/>
    </sheetView>
  </sheetViews>
  <sheetFormatPr defaultColWidth="10" defaultRowHeight="14.4"/>
  <cols>
    <col min="1" max="1" width="8.71296296296296" customWidth="1"/>
    <col min="2" max="2" width="15.1388888888889" customWidth="1"/>
    <col min="3" max="3" width="13.4259259259259" customWidth="1"/>
    <col min="4" max="4" width="16.287037037037" customWidth="1"/>
    <col min="5" max="5" width="21.8888888888889" customWidth="1"/>
    <col min="6" max="6" width="15.712962962963" customWidth="1"/>
    <col min="7" max="7" width="17.6666666666667" customWidth="1"/>
    <col min="8" max="8" width="21" customWidth="1"/>
    <col min="9" max="11" width="17.6666666666667" customWidth="1"/>
    <col min="12" max="12" width="19.7777777777778" customWidth="1"/>
    <col min="13" max="13" width="9.85185185185185" customWidth="1"/>
    <col min="14" max="14" width="10.287037037037" customWidth="1"/>
    <col min="15" max="15" width="12.4259259259259" customWidth="1"/>
    <col min="16" max="16" width="12.1388888888889" customWidth="1"/>
    <col min="17" max="17" width="10.712962962963" customWidth="1"/>
    <col min="18" max="18" width="13" customWidth="1"/>
    <col min="19" max="19" width="11.4259259259259" customWidth="1"/>
    <col min="20" max="20" width="11.712962962963" customWidth="1"/>
    <col min="21" max="21" width="10.5740740740741" customWidth="1"/>
  </cols>
  <sheetData>
    <row r="1" ht="15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4</v>
      </c>
      <c r="H1" s="2">
        <f>((F7+F5/2)*15*F8)/200</f>
        <v>0</v>
      </c>
      <c r="I1" s="7"/>
      <c r="J1" s="29" t="s">
        <v>5</v>
      </c>
      <c r="K1" s="21"/>
      <c r="L1" s="30"/>
      <c r="M1" s="31"/>
      <c r="N1" s="31"/>
      <c r="O1" s="31"/>
      <c r="P1" s="31"/>
      <c r="Q1" s="31"/>
      <c r="R1" s="31"/>
      <c r="S1" s="31"/>
      <c r="T1" s="31"/>
      <c r="U1" s="31"/>
    </row>
    <row r="2" ht="15" spans="1:21">
      <c r="A2" s="3"/>
      <c r="B2" s="1" t="s">
        <v>6</v>
      </c>
      <c r="C2" s="4"/>
      <c r="D2" s="3"/>
      <c r="E2" s="1" t="s">
        <v>6</v>
      </c>
      <c r="F2" s="5"/>
      <c r="G2" s="1" t="s">
        <v>7</v>
      </c>
      <c r="H2" s="2">
        <f>((F6+F4/2)*0.012*F9+10+0.2*(((F2+4)^3/10+1)^0.5))*(1.6+0.01*(F3+F4/20))</f>
        <v>16.8704941125591</v>
      </c>
      <c r="I2" s="2">
        <f>H2+ROUNDDOWN((C10+C11/10)*11+6.5*300+50,0)</f>
        <v>2016.87049411256</v>
      </c>
      <c r="J2" s="3"/>
      <c r="K2" s="21"/>
      <c r="L2" s="30"/>
      <c r="M2" s="31"/>
      <c r="N2" s="31"/>
      <c r="O2" s="31"/>
      <c r="P2" s="31"/>
      <c r="Q2" s="31"/>
      <c r="R2" s="31"/>
      <c r="S2" s="31"/>
      <c r="T2" s="31"/>
      <c r="U2" s="31"/>
    </row>
    <row r="3" ht="15" spans="1:21">
      <c r="A3" s="3"/>
      <c r="B3" s="1" t="s">
        <v>8</v>
      </c>
      <c r="C3" s="4"/>
      <c r="D3" s="3"/>
      <c r="E3" s="1" t="s">
        <v>9</v>
      </c>
      <c r="F3" s="5"/>
      <c r="G3" s="6"/>
      <c r="H3" s="7"/>
      <c r="I3" s="7"/>
      <c r="J3" s="3"/>
      <c r="K3" s="21"/>
      <c r="L3" s="30"/>
      <c r="M3" s="31"/>
      <c r="N3" s="31"/>
      <c r="O3" s="31"/>
      <c r="P3" s="31"/>
      <c r="Q3" s="31"/>
      <c r="R3" s="31"/>
      <c r="S3" s="31"/>
      <c r="T3" s="31"/>
      <c r="U3" s="31"/>
    </row>
    <row r="4" ht="15" spans="1:21">
      <c r="A4" s="3"/>
      <c r="B4" s="1" t="s">
        <v>10</v>
      </c>
      <c r="C4" s="4"/>
      <c r="D4" s="3"/>
      <c r="E4" s="1" t="s">
        <v>11</v>
      </c>
      <c r="F4" s="5"/>
      <c r="G4" s="1" t="s">
        <v>12</v>
      </c>
      <c r="H4" s="2">
        <f>H1*(1+F12)*(1+F10)</f>
        <v>0</v>
      </c>
      <c r="I4" s="7"/>
      <c r="J4" s="3"/>
      <c r="K4" s="21"/>
      <c r="L4" s="30"/>
      <c r="M4" s="31"/>
      <c r="N4" s="31"/>
      <c r="O4" s="31"/>
      <c r="P4" s="31"/>
      <c r="Q4" s="31"/>
      <c r="R4" s="31"/>
      <c r="S4" s="31"/>
      <c r="T4" s="31"/>
      <c r="U4" s="31"/>
    </row>
    <row r="5" ht="15" spans="1:21">
      <c r="A5" s="3"/>
      <c r="B5" s="1" t="s">
        <v>13</v>
      </c>
      <c r="C5" s="4"/>
      <c r="D5" s="3"/>
      <c r="E5" s="1" t="s">
        <v>14</v>
      </c>
      <c r="F5" s="5"/>
      <c r="G5" s="8" t="s">
        <v>15</v>
      </c>
      <c r="H5" s="9">
        <f>H2*(1+F11)*(1+F13)</f>
        <v>16.8704941125591</v>
      </c>
      <c r="I5" s="9">
        <f>I2*(1+F11)*(1+F13)</f>
        <v>2016.87049411256</v>
      </c>
      <c r="J5" s="3"/>
      <c r="K5" s="21"/>
      <c r="L5" s="30"/>
      <c r="M5" s="31"/>
      <c r="N5" s="31"/>
      <c r="O5" s="31"/>
      <c r="P5" s="31"/>
      <c r="Q5" s="31"/>
      <c r="R5" s="31"/>
      <c r="S5" s="31"/>
      <c r="T5" s="31"/>
      <c r="U5" s="31"/>
    </row>
    <row r="6" ht="15" spans="1:21">
      <c r="A6" s="3"/>
      <c r="B6" s="1" t="s">
        <v>16</v>
      </c>
      <c r="C6" s="4"/>
      <c r="D6" s="3"/>
      <c r="E6" s="1" t="s">
        <v>17</v>
      </c>
      <c r="F6" s="5"/>
      <c r="G6" s="10" t="s">
        <v>18</v>
      </c>
      <c r="H6" s="11" t="s">
        <v>19</v>
      </c>
      <c r="I6" s="11" t="s">
        <v>20</v>
      </c>
      <c r="J6" s="3"/>
      <c r="K6" s="21"/>
      <c r="L6" s="30"/>
      <c r="M6" s="31"/>
      <c r="N6" s="31"/>
      <c r="O6" s="31"/>
      <c r="P6" s="31"/>
      <c r="Q6" s="31"/>
      <c r="R6" s="31"/>
      <c r="S6" s="31"/>
      <c r="T6" s="31"/>
      <c r="U6" s="31"/>
    </row>
    <row r="7" ht="15" spans="1:21">
      <c r="A7" s="3"/>
      <c r="B7" s="1" t="s">
        <v>21</v>
      </c>
      <c r="C7" s="4" t="s">
        <v>22</v>
      </c>
      <c r="D7" s="3"/>
      <c r="E7" s="1" t="s">
        <v>23</v>
      </c>
      <c r="F7" s="5"/>
      <c r="G7" s="3"/>
      <c r="H7" s="12">
        <v>0.8</v>
      </c>
      <c r="I7" s="11">
        <f>MIN((C12+550)*(C13+80)/1140,150)</f>
        <v>38.5964912280702</v>
      </c>
      <c r="J7" s="3"/>
      <c r="K7" s="21"/>
      <c r="L7" s="30"/>
      <c r="M7" s="31"/>
      <c r="N7" s="31"/>
      <c r="O7" s="31"/>
      <c r="P7" s="31"/>
      <c r="Q7" s="31"/>
      <c r="R7" s="31"/>
      <c r="S7" s="31"/>
      <c r="T7" s="31"/>
      <c r="U7" s="31"/>
    </row>
    <row r="8" ht="15" spans="1:21">
      <c r="A8" s="3"/>
      <c r="B8" s="1" t="s">
        <v>24</v>
      </c>
      <c r="C8" s="4" t="s">
        <v>22</v>
      </c>
      <c r="D8" s="3"/>
      <c r="E8" s="1" t="s">
        <v>25</v>
      </c>
      <c r="F8" s="5"/>
      <c r="G8" s="3"/>
      <c r="H8" s="11" t="s">
        <v>26</v>
      </c>
      <c r="I8" s="11" t="s">
        <v>27</v>
      </c>
      <c r="J8" s="3"/>
      <c r="K8" s="21"/>
      <c r="L8" s="30"/>
      <c r="M8" s="31"/>
      <c r="N8" s="31"/>
      <c r="O8" s="31"/>
      <c r="P8" s="31"/>
      <c r="Q8" s="31"/>
      <c r="R8" s="31"/>
      <c r="S8" s="31"/>
      <c r="T8" s="31"/>
      <c r="U8" s="31"/>
    </row>
    <row r="9" ht="15" spans="1:21">
      <c r="A9" s="3"/>
      <c r="B9" s="1" t="s">
        <v>28</v>
      </c>
      <c r="C9" s="4"/>
      <c r="D9" s="3"/>
      <c r="E9" s="1" t="s">
        <v>29</v>
      </c>
      <c r="F9" s="5"/>
      <c r="G9" s="3"/>
      <c r="H9" s="11">
        <f>MIN((C12+550)*(C13+80)/1140,150)*1.2</f>
        <v>46.3157894736842</v>
      </c>
      <c r="I9" s="11">
        <f>MIN((C12+550)*(C13+80)/1140,150)*0.95</f>
        <v>36.6666666666667</v>
      </c>
      <c r="J9" s="3"/>
      <c r="K9" s="21"/>
      <c r="L9" s="30"/>
      <c r="M9" s="31"/>
      <c r="N9" s="31"/>
      <c r="O9" s="31"/>
      <c r="P9" s="31"/>
      <c r="Q9" s="31"/>
      <c r="R9" s="31"/>
      <c r="S9" s="31"/>
      <c r="T9" s="31"/>
      <c r="U9" s="31"/>
    </row>
    <row r="10" ht="15" spans="1:21">
      <c r="A10" s="3"/>
      <c r="B10" s="1" t="s">
        <v>9</v>
      </c>
      <c r="C10" s="4"/>
      <c r="D10" s="3"/>
      <c r="E10" s="1" t="s">
        <v>30</v>
      </c>
      <c r="F10" s="5"/>
      <c r="G10" s="3"/>
      <c r="H10" s="11" t="s">
        <v>31</v>
      </c>
      <c r="I10" s="11" t="s">
        <v>32</v>
      </c>
      <c r="J10" s="3"/>
      <c r="K10" s="21"/>
      <c r="L10" s="30"/>
      <c r="M10" s="31"/>
      <c r="N10" s="31"/>
      <c r="O10" s="31"/>
      <c r="P10" s="31"/>
      <c r="Q10" s="31"/>
      <c r="R10" s="31"/>
      <c r="S10" s="31"/>
      <c r="T10" s="31"/>
      <c r="U10" s="31"/>
    </row>
    <row r="11" ht="15" spans="1:21">
      <c r="A11" s="3"/>
      <c r="B11" s="1" t="s">
        <v>33</v>
      </c>
      <c r="C11" s="4"/>
      <c r="D11" s="3"/>
      <c r="E11" s="1" t="s">
        <v>34</v>
      </c>
      <c r="F11" s="5"/>
      <c r="G11" s="3"/>
      <c r="H11" s="11">
        <f>MIN((C12+550)*(C13+80)/1140,150)*1.04</f>
        <v>40.140350877193</v>
      </c>
      <c r="I11" s="11">
        <f>MIN((C12+550)*(C13+80)/1140,150)*1.12</f>
        <v>43.2280701754386</v>
      </c>
      <c r="J11" s="3"/>
      <c r="K11" s="21"/>
      <c r="L11" s="30"/>
      <c r="M11" s="31"/>
      <c r="N11" s="31"/>
      <c r="O11" s="31"/>
      <c r="P11" s="31"/>
      <c r="Q11" s="31"/>
      <c r="R11" s="31"/>
      <c r="S11" s="31"/>
      <c r="T11" s="31"/>
      <c r="U11" s="31"/>
    </row>
    <row r="12" ht="15" spans="1:21">
      <c r="A12" s="3"/>
      <c r="B12" s="1" t="s">
        <v>35</v>
      </c>
      <c r="C12" s="4"/>
      <c r="D12" s="3"/>
      <c r="E12" s="1" t="s">
        <v>36</v>
      </c>
      <c r="F12" s="5"/>
      <c r="G12" s="3"/>
      <c r="H12" s="13" t="s">
        <v>37</v>
      </c>
      <c r="I12" s="32"/>
      <c r="J12" s="3"/>
      <c r="K12" s="21"/>
      <c r="L12" s="30"/>
      <c r="M12" s="31"/>
      <c r="N12" s="31"/>
      <c r="O12" s="31"/>
      <c r="P12" s="31"/>
      <c r="Q12" s="31"/>
      <c r="R12" s="31"/>
      <c r="S12" s="31"/>
      <c r="T12" s="31"/>
      <c r="U12" s="31"/>
    </row>
    <row r="13" ht="15" spans="1:21">
      <c r="A13" s="3"/>
      <c r="B13" s="1" t="s">
        <v>38</v>
      </c>
      <c r="C13" s="4"/>
      <c r="D13" s="3"/>
      <c r="E13" s="1" t="s">
        <v>39</v>
      </c>
      <c r="F13" s="5"/>
      <c r="G13" s="3"/>
      <c r="H13" s="14">
        <f>MIN((C12+550)*(C13+80)/1140,150)*1.32</f>
        <v>50.9473684210526</v>
      </c>
      <c r="I13" s="33"/>
      <c r="J13" s="3"/>
      <c r="K13" s="21"/>
      <c r="L13" s="30"/>
      <c r="M13" s="31"/>
      <c r="N13" s="31"/>
      <c r="O13" s="31"/>
      <c r="P13" s="31"/>
      <c r="Q13" s="31"/>
      <c r="R13" s="31"/>
      <c r="S13" s="31"/>
      <c r="T13" s="31"/>
      <c r="U13" s="31"/>
    </row>
    <row r="14" ht="15" spans="1:21">
      <c r="A14" s="15"/>
      <c r="B14" s="16"/>
      <c r="C14" s="16"/>
      <c r="D14" s="15"/>
      <c r="E14" s="8" t="s">
        <v>40</v>
      </c>
      <c r="F14" s="17"/>
      <c r="G14" s="15"/>
      <c r="H14" s="18"/>
      <c r="I14" s="24"/>
      <c r="J14" s="3"/>
      <c r="K14" s="21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ht="15" spans="1:21">
      <c r="A15" s="19" t="s">
        <v>41</v>
      </c>
      <c r="B15" s="11" t="s">
        <v>42</v>
      </c>
      <c r="C15" s="11" t="s">
        <v>43</v>
      </c>
      <c r="D15" s="11" t="s">
        <v>44</v>
      </c>
      <c r="E15" s="11" t="s">
        <v>45</v>
      </c>
      <c r="F15" s="11" t="s">
        <v>46</v>
      </c>
      <c r="G15" s="11" t="s">
        <v>47</v>
      </c>
      <c r="H15" s="11" t="s">
        <v>48</v>
      </c>
      <c r="I15" s="11" t="s">
        <v>49</v>
      </c>
      <c r="J15" s="10" t="s">
        <v>50</v>
      </c>
      <c r="K15" s="21"/>
      <c r="L15" s="30"/>
      <c r="M15" s="31"/>
      <c r="N15" s="31"/>
      <c r="O15" s="31"/>
      <c r="P15" s="31"/>
      <c r="Q15" s="31"/>
      <c r="R15" s="31"/>
      <c r="S15" s="31"/>
      <c r="T15" s="31"/>
      <c r="U15" s="31"/>
    </row>
    <row r="16" ht="15" spans="1:21">
      <c r="A16" s="20"/>
      <c r="B16" s="11">
        <f>C3+C4/20</f>
        <v>0</v>
      </c>
      <c r="C16" s="11">
        <f>C5+C6/2</f>
        <v>0</v>
      </c>
      <c r="D16" s="11">
        <f>(C2+4)^3/10+1</f>
        <v>7.4</v>
      </c>
      <c r="E16" s="12"/>
      <c r="F16" s="12"/>
      <c r="G16" s="12"/>
      <c r="H16" s="12"/>
      <c r="I16" s="12"/>
      <c r="J16" s="3"/>
      <c r="K16" s="21"/>
      <c r="L16" s="30"/>
      <c r="M16" s="31"/>
      <c r="N16" s="31"/>
      <c r="O16" s="31"/>
      <c r="P16" s="31"/>
      <c r="Q16" s="31"/>
      <c r="R16" s="31"/>
      <c r="S16" s="31"/>
      <c r="T16" s="31"/>
      <c r="U16" s="31"/>
    </row>
    <row r="17" ht="15" spans="1:21">
      <c r="A17" s="20"/>
      <c r="B17" s="11" t="s">
        <v>51</v>
      </c>
      <c r="C17" s="11" t="s">
        <v>52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58</v>
      </c>
      <c r="J17" s="11">
        <f>H16+((C3+C4/10)*0.1+300*0.8+30)</f>
        <v>270</v>
      </c>
      <c r="K17" s="21"/>
      <c r="L17" s="30"/>
      <c r="M17" s="31"/>
      <c r="N17" s="31"/>
      <c r="O17" s="31"/>
      <c r="P17" s="31"/>
      <c r="Q17" s="31"/>
      <c r="R17" s="31"/>
      <c r="S17" s="31"/>
      <c r="T17" s="31"/>
      <c r="U17" s="31"/>
    </row>
    <row r="18" ht="15" spans="1:21">
      <c r="A18" s="20"/>
      <c r="B18" s="19">
        <f>10+300*0.1+(C3+C4/10)*0.3+H16*1.05*0.75</f>
        <v>40</v>
      </c>
      <c r="C18" s="19">
        <f>(C3+C4/10)*0.2+(C10+C11/10)*0.48+100+300/5</f>
        <v>160</v>
      </c>
      <c r="D18" s="11">
        <f>((C3+C4/10)*37+21*300+100)</f>
        <v>6400</v>
      </c>
      <c r="E18" s="11">
        <f>(C3+C4/10)*0.35+(C10+C11/10)*0.32+75+300/3</f>
        <v>175</v>
      </c>
      <c r="F18" s="11">
        <f>300*6+(C3+C4/10)*5+950</f>
        <v>2750</v>
      </c>
      <c r="G18" s="11">
        <f>(C3+C4/10)*0.5+(C10+C11/10)*0.3+15+300*0.9</f>
        <v>285</v>
      </c>
      <c r="H18" s="11">
        <f>300*14+(B16+50)*5+2000</f>
        <v>6450</v>
      </c>
      <c r="I18" s="11">
        <f>(B16+50)*0.35+(C12+50)*0.32+72+300*0.7</f>
        <v>315.5</v>
      </c>
      <c r="J18" s="3"/>
      <c r="K18" s="21"/>
      <c r="L18" s="30"/>
      <c r="M18" s="31"/>
      <c r="N18" s="31"/>
      <c r="O18" s="31"/>
      <c r="P18" s="31"/>
      <c r="Q18" s="31"/>
      <c r="R18" s="31"/>
      <c r="S18" s="31"/>
      <c r="T18" s="31"/>
      <c r="U18" s="31"/>
    </row>
    <row r="19" ht="15" spans="1:21">
      <c r="A19" s="11" t="s">
        <v>59</v>
      </c>
      <c r="B19" s="11" t="s">
        <v>60</v>
      </c>
      <c r="C19" s="11" t="s">
        <v>61</v>
      </c>
      <c r="D19" s="21"/>
      <c r="E19" s="21"/>
      <c r="F19" s="21"/>
      <c r="G19" s="21"/>
      <c r="H19" s="21"/>
      <c r="I19" s="21"/>
      <c r="J19" s="21"/>
      <c r="K19" s="21"/>
      <c r="L19" s="30"/>
      <c r="M19" s="31"/>
      <c r="N19" s="31"/>
      <c r="O19" s="31"/>
      <c r="P19" s="31"/>
      <c r="Q19" s="31"/>
      <c r="R19" s="31"/>
      <c r="S19" s="31"/>
      <c r="T19" s="31"/>
      <c r="U19" s="31"/>
    </row>
    <row r="20" ht="15" spans="1:21">
      <c r="A20" s="3"/>
      <c r="B20" s="22">
        <f>(5*1500*F14/120+D16^0.4+10)*(1.35+(F3+F4/20+2.5)/200)*1.05+600</f>
        <v>617.492049926505</v>
      </c>
      <c r="C20" s="12"/>
      <c r="D20" s="21"/>
      <c r="E20" s="21"/>
      <c r="F20" s="21"/>
      <c r="G20" s="21"/>
      <c r="H20" s="21"/>
      <c r="I20" s="21"/>
      <c r="J20" s="21"/>
      <c r="K20" s="21"/>
      <c r="L20" s="30"/>
      <c r="M20" s="31"/>
      <c r="N20" s="31"/>
      <c r="O20" s="31"/>
      <c r="P20" s="31"/>
      <c r="Q20" s="31"/>
      <c r="R20" s="31"/>
      <c r="S20" s="31"/>
      <c r="T20" s="31"/>
      <c r="U20" s="31"/>
    </row>
    <row r="21" ht="15" spans="1: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0"/>
      <c r="M21" s="31"/>
      <c r="N21" s="31"/>
      <c r="O21" s="31"/>
      <c r="P21" s="31"/>
      <c r="Q21" s="31"/>
      <c r="R21" s="31"/>
      <c r="S21" s="31"/>
      <c r="T21" s="31"/>
      <c r="U21" s="31"/>
    </row>
    <row r="22" ht="15" spans="1:21">
      <c r="A22" s="23" t="s">
        <v>62</v>
      </c>
      <c r="B22" s="11" t="s">
        <v>63</v>
      </c>
      <c r="C22" s="11" t="s">
        <v>64</v>
      </c>
      <c r="D22" s="11" t="s">
        <v>65</v>
      </c>
      <c r="E22" s="11" t="s">
        <v>66</v>
      </c>
      <c r="F22" s="11" t="s">
        <v>67</v>
      </c>
      <c r="G22" s="11" t="s">
        <v>68</v>
      </c>
      <c r="H22" s="11" t="s">
        <v>69</v>
      </c>
      <c r="I22" s="11" t="s">
        <v>70</v>
      </c>
      <c r="J22" s="11" t="s">
        <v>71</v>
      </c>
      <c r="K22" s="11" t="s">
        <v>72</v>
      </c>
      <c r="L22" s="11" t="s">
        <v>73</v>
      </c>
      <c r="M22" s="34"/>
      <c r="N22" s="34"/>
      <c r="O22" s="34"/>
      <c r="P22" s="34"/>
      <c r="Q22" s="34"/>
      <c r="R22" s="34"/>
      <c r="S22" s="34"/>
      <c r="T22" s="34"/>
      <c r="U22" s="34"/>
    </row>
    <row r="23" ht="15" spans="1:2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>
        <f>(J23+K23)*100/3</f>
        <v>0</v>
      </c>
      <c r="M23" s="34"/>
      <c r="N23" s="34"/>
      <c r="O23" s="34"/>
      <c r="P23" s="34"/>
      <c r="Q23" s="34"/>
      <c r="R23" s="34"/>
      <c r="S23" s="34"/>
      <c r="T23" s="34"/>
      <c r="U23" s="34"/>
    </row>
    <row r="24" spans="1:21">
      <c r="A24" s="24"/>
      <c r="B24" s="11" t="s">
        <v>74</v>
      </c>
      <c r="C24" s="11" t="s">
        <v>75</v>
      </c>
      <c r="D24" s="11" t="s">
        <v>76</v>
      </c>
      <c r="E24" s="11" t="s">
        <v>77</v>
      </c>
      <c r="F24" s="26" t="s">
        <v>78</v>
      </c>
      <c r="G24" s="11" t="s">
        <v>79</v>
      </c>
      <c r="H24" s="11" t="s">
        <v>80</v>
      </c>
      <c r="I24" s="11" t="s">
        <v>81</v>
      </c>
      <c r="J24" s="11" t="s">
        <v>82</v>
      </c>
      <c r="K24" s="11" t="s">
        <v>83</v>
      </c>
      <c r="L24" s="11" t="s">
        <v>84</v>
      </c>
      <c r="M24" s="31"/>
      <c r="N24" s="31"/>
      <c r="O24" s="31"/>
      <c r="P24" s="31"/>
      <c r="Q24" s="31"/>
      <c r="R24" s="31"/>
      <c r="S24" s="31"/>
      <c r="T24" s="31"/>
      <c r="U24" s="31"/>
    </row>
    <row r="25" ht="15" spans="1:21">
      <c r="A25" s="24"/>
      <c r="B25" s="27">
        <f>(C16*0.03*B23+F16/20+10+D16^0.4)*(1+0.02*B16)+E16*E23*(1+C16/500)*(0.001*B16+0.49)+G16</f>
        <v>12.2268588389723</v>
      </c>
      <c r="C25" s="11">
        <f>E16*F23/80+H16+I16</f>
        <v>0</v>
      </c>
      <c r="D25" s="11">
        <f>(8*(C23+B25*(1+G23)*C23/1000))/(1+B20/1000)*H7</f>
        <v>0</v>
      </c>
      <c r="E25" s="11">
        <f>(C25+H16+H23-C20*0.3)*(100/(C20+100))*H7</f>
        <v>0</v>
      </c>
      <c r="F25" s="28"/>
      <c r="G25" s="11">
        <f>D25+E25+F25</f>
        <v>0</v>
      </c>
      <c r="H25" s="11" t="e">
        <f>G25*H9/L23</f>
        <v>#DIV/0!</v>
      </c>
      <c r="I25" s="11">
        <f>((C6+C5/2)*15*D23/100+1000+0.5*((C2+4)^3/10+1)^0.5)*(1+(C3+C4/20)*0.02)</f>
        <v>1001.36014705087</v>
      </c>
      <c r="J25" s="11">
        <f>(1+C9)*I25*(1+I23)*(2/(1+3^(((F2+4)^3/10+1-((C2+4)^3/10+1))/((F2+4)^3/10+1+(C2+4)^3/10+1))))</f>
        <v>1001.36014705087</v>
      </c>
      <c r="K25" s="35">
        <f>1-(H4+H5)/(H4+H5+J25)</f>
        <v>0.983431559186549</v>
      </c>
      <c r="L25" s="11" t="e">
        <f>H25*K25</f>
        <v>#DIV/0!</v>
      </c>
      <c r="M25" s="31"/>
      <c r="N25" s="31"/>
      <c r="O25" s="31"/>
      <c r="P25" s="31"/>
      <c r="Q25" s="31"/>
      <c r="R25" s="31"/>
      <c r="S25" s="31"/>
      <c r="T25" s="31"/>
      <c r="U25" s="31"/>
    </row>
  </sheetData>
  <sheetProtection password="C77E" sheet="1" objects="1"/>
  <mergeCells count="11">
    <mergeCell ref="H12:I12"/>
    <mergeCell ref="A1:A14"/>
    <mergeCell ref="A15:A18"/>
    <mergeCell ref="A19:A20"/>
    <mergeCell ref="A22:A25"/>
    <mergeCell ref="D1:D14"/>
    <mergeCell ref="G6:G14"/>
    <mergeCell ref="J1:J14"/>
    <mergeCell ref="J15:J16"/>
    <mergeCell ref="J17:J18"/>
    <mergeCell ref="H13:I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神兵均伤计算器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绯村毛玉</cp:lastModifiedBy>
  <dcterms:created xsi:type="dcterms:W3CDTF">2021-05-24T05:14:00Z</dcterms:created>
  <dcterms:modified xsi:type="dcterms:W3CDTF">2021-05-24T12:25:30Z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45763C2C01A44E3886B72C1316B3EA18</vt:lpwstr>
  </property>
  <property fmtid="{D5CDD505-2E9C-101B-9397-08002B2CF9AE}" pid="3" name="KSOProductBuildVer">
    <vt:lpwstr>2052-11.1.0.10495</vt:lpwstr>
  </property>
</Properties>
</file>