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activeTab="5"/>
  </bookViews>
  <sheets>
    <sheet name="表格使用说明" sheetId="8" r:id="rId1"/>
    <sheet name="倾向-优先级表" sheetId="5" r:id="rId2"/>
    <sheet name="当前时间项目推荐" sheetId="14" r:id="rId3"/>
    <sheet name="毕业时间预测" sheetId="15" r:id="rId4"/>
    <sheet name="欧气计算表" sheetId="16" r:id="rId5"/>
    <sheet name="数据表" sheetId="10" r:id="rId6"/>
    <sheet name="白天模拟" sheetId="11" r:id="rId7"/>
    <sheet name="夜晚模拟" sheetId="17" r:id="rId8"/>
    <sheet name="当前时间策略" sheetId="13" r:id="rId9"/>
  </sheets>
  <calcPr calcId="144525"/>
</workbook>
</file>

<file path=xl/sharedStrings.xml><?xml version="1.0" encoding="utf-8"?>
<sst xmlns="http://schemas.openxmlformats.org/spreadsheetml/2006/main" count="765" uniqueCount="374">
  <si>
    <t>表格使用说明</t>
  </si>
  <si>
    <t>点击查看本表格填写的视频介绍</t>
  </si>
  <si>
    <r>
      <rPr>
        <sz val="11"/>
        <rFont val="宋体"/>
        <charset val="134"/>
      </rPr>
      <t>倾向-优先级表中表格的</t>
    </r>
    <r>
      <rPr>
        <sz val="11"/>
        <color rgb="FFFF0000"/>
        <rFont val="宋体"/>
        <charset val="134"/>
      </rPr>
      <t>白色区域</t>
    </r>
    <r>
      <rPr>
        <sz val="11"/>
        <rFont val="宋体"/>
        <charset val="134"/>
      </rPr>
      <t>的</t>
    </r>
    <r>
      <rPr>
        <b/>
        <sz val="11"/>
        <rFont val="宋体"/>
        <charset val="134"/>
      </rPr>
      <t>所有空位</t>
    </r>
    <r>
      <rPr>
        <sz val="11"/>
        <rFont val="宋体"/>
        <charset val="134"/>
      </rPr>
      <t>都需要填，然后</t>
    </r>
    <r>
      <rPr>
        <sz val="11"/>
        <color rgb="FFFF0000"/>
        <rFont val="宋体"/>
        <charset val="134"/>
      </rPr>
      <t>手动抄写性价比期望</t>
    </r>
    <r>
      <rPr>
        <sz val="11"/>
        <rFont val="宋体"/>
        <charset val="134"/>
      </rPr>
      <t>直到性价比期望不再变化。上述操作完成后科研查看项目排序、性价比。再填写自己每天有效科研时间后可查看每日的科研收益。（数据都汇总了不用去其他表看）</t>
    </r>
  </si>
  <si>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</si>
  <si>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</si>
  <si>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</si>
  <si>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注意！即使你完全不知道性价比参考值之类的数值一开始怎么填写也没有任何关系，只要你根据预计收益和支出与你的期望对比后对倾向进行调整，一开始也可以参考下面的数值参考来填。                                                     当日均消耗物资或者魔方超出预计时，调高省物资或者魔方倾向，反之调低。                       当你觉得每天收菜次数太多，调高平均浪费时间，反之调低。                                   当你觉得彩图产出速度太慢，可以调高彩图与金图之间的兑换比，反之调低。                     当你觉得彩飞机产出速度太慢，可以调高彩飞机与彩图之间的兑换比，反之调低。                   当你想要切魔方来获取心智单元，可以调高缺心智倾向，反之调低。                             当你发现策略过于激进，可以调低过滤门槛（过滤名次数值改高）</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</si>
  <si>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40%左右</t>
  </si>
  <si>
    <t>算收益的时候没有计入维护时科研时间的浪费。所以实际的产出大概率会比拉表所得的数据要低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</si>
  <si>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</si>
  <si>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</si>
  <si>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</si>
  <si>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</si>
  <si>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</si>
  <si>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</si>
  <si>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</si>
  <si>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缺心智倾向：</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</si>
  <si>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</si>
  <si>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</si>
  <si>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</si>
  <si>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</si>
  <si>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</si>
  <si>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</si>
  <si>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</si>
  <si>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</si>
  <si>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</si>
  <si>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</si>
  <si>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</si>
  <si>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</si>
  <si>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</si>
  <si>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</si>
  <si>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</si>
  <si>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</si>
  <si>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</si>
  <si>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</si>
  <si>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</si>
  <si>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</si>
  <si>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</si>
  <si>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</si>
  <si>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</si>
  <si>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</si>
  <si>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</si>
  <si>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</si>
  <si>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</si>
  <si>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</si>
  <si>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查看表格使用说明</t>
  </si>
  <si>
    <t>根据自身倾向，制订只属于你的科研策略吧</t>
  </si>
  <si>
    <t>确定自身倾向后，可以查看当前时间的最优策略</t>
  </si>
  <si>
    <t>当你是第一次填写这个表格，或者对填写有疑问，请看看表格使用说明</t>
  </si>
  <si>
    <t>白天科研性价比期望</t>
  </si>
  <si>
    <t>性价比参考值</t>
  </si>
  <si>
    <t>手动把参考值手动抄到性价比期望栏目来迭代修正</t>
  </si>
  <si>
    <t>综合性价比</t>
  </si>
  <si>
    <t>如果某个格子填写有问题，会以红色粗体标出</t>
  </si>
  <si>
    <t>夜晚科研性价比期望</t>
  </si>
  <si>
    <t>当前倾向下综合性价比最佳可作为过滤项目参考</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</si>
  <si>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</si>
  <si>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</si>
  <si>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</si>
  <si>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</si>
  <si>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</si>
  <si>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</si>
  <si>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</si>
  <si>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</si>
  <si>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</si>
  <si>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</si>
  <si>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</si>
  <si>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</si>
  <si>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</si>
  <si>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</si>
  <si>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</si>
  <si>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</si>
  <si>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</si>
  <si>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</si>
  <si>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</si>
  <si>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</si>
  <si>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</si>
  <si>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</si>
  <si>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白天排行</t>
  </si>
  <si>
    <t>项目排名</t>
  </si>
  <si>
    <t>项目名称</t>
  </si>
  <si>
    <t>是否过滤</t>
  </si>
  <si>
    <t>夜晚排行</t>
  </si>
  <si>
    <t>日均投入时间</t>
  </si>
  <si>
    <t>每日彩飞机收入：</t>
  </si>
  <si>
    <t>4期科研剩余时间产量预计</t>
  </si>
  <si>
    <t>白天过滤失败概率：</t>
  </si>
  <si>
    <t>日均收菜次数</t>
  </si>
  <si>
    <t>每日彩船图纸收入：</t>
  </si>
  <si>
    <t>彩飞机</t>
  </si>
  <si>
    <t>白天刷新科研概率</t>
  </si>
  <si>
    <t>日均消耗魔方</t>
  </si>
  <si>
    <t>每日金船图纸收入：</t>
  </si>
  <si>
    <t>彩图纸</t>
  </si>
  <si>
    <t>每日使用刷新概率：</t>
  </si>
  <si>
    <t>日均消耗物资</t>
  </si>
  <si>
    <t>每日心智单元收入：</t>
  </si>
  <si>
    <t>金图纸</t>
  </si>
  <si>
    <t>每日过滤失败概率：</t>
  </si>
  <si>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</si>
  <si>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</si>
  <si>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</si>
  <si>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</si>
  <si>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</si>
  <si>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</si>
  <si>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</si>
  <si>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</si>
  <si>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</si>
  <si>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</si>
  <si>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</si>
  <si>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</si>
  <si>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</si>
  <si>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</si>
  <si>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</si>
  <si>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</si>
  <si>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</si>
  <si>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</si>
  <si>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</si>
  <si>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</si>
  <si>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</si>
  <si>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</si>
  <si>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</si>
  <si>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</si>
  <si>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</si>
  <si>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</si>
  <si>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</si>
  <si>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</si>
  <si>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</si>
  <si>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</si>
  <si>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</si>
  <si>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</si>
  <si>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</si>
  <si>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</si>
  <si>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</si>
  <si>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</si>
  <si>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</si>
  <si>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</si>
  <si>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</si>
  <si>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</si>
  <si>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</si>
  <si>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</si>
  <si>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</si>
  <si>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</si>
  <si>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</si>
  <si>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</si>
  <si>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</si>
  <si>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</si>
  <si>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</si>
  <si>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</si>
  <si>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</si>
  <si>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</si>
  <si>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</si>
  <si>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</si>
  <si>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</si>
  <si>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</si>
  <si>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</si>
  <si>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</si>
  <si>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</si>
  <si>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返回主表格</t>
  </si>
  <si>
    <t>我的图纸</t>
  </si>
  <si>
    <t>现有</t>
  </si>
  <si>
    <t>需求</t>
  </si>
  <si>
    <t>预期毕业时间</t>
  </si>
  <si>
    <t xml:space="preserve">   埃吉尔</t>
  </si>
  <si>
    <t xml:space="preserve">   白龙(鹭)</t>
  </si>
  <si>
    <t xml:space="preserve">   安克雷奇</t>
  </si>
  <si>
    <t xml:space="preserve">   奥古斯特</t>
  </si>
  <si>
    <t xml:space="preserve">   马可波罗</t>
  </si>
  <si>
    <t xml:space="preserve">   天雷</t>
  </si>
  <si>
    <t>4期科研结束时间（预计）</t>
  </si>
  <si>
    <t>攒天运图纸的同学们注意了，目前彩船天运开放全都在彩船定向追赶150张开启之后，所以算天运图纸            什么时候凑齐的时候最好减去这150张，避免多做D类，少拿天雷</t>
  </si>
  <si>
    <t>装备</t>
  </si>
  <si>
    <t>数目：</t>
  </si>
  <si>
    <t>试作舰载型BF-109G</t>
  </si>
  <si>
    <t>理论天雷期望：</t>
  </si>
  <si>
    <t>我的欧气值</t>
  </si>
  <si>
    <t>试作三联装305mmSKC39主炮</t>
  </si>
  <si>
    <t>你的欧气超过了</t>
  </si>
  <si>
    <t>试作三联装406mmModel1940</t>
  </si>
  <si>
    <t>试作型彩云（舰攻型）</t>
  </si>
  <si>
    <t>试作型双联90mm高角炮Model1939</t>
  </si>
  <si>
    <t>试作舰载型天雷</t>
  </si>
  <si>
    <t>填：每种装备获取数目</t>
  </si>
  <si>
    <t>获得：装备均衡性上你的欧气处于什么位置</t>
  </si>
  <si>
    <t>理应的天雷：4期金色装备比例</t>
  </si>
  <si>
    <t>现实：</t>
  </si>
  <si>
    <t>天呐，你已经非到不可理喻的地步了,地球上真的有这么非的人吗</t>
  </si>
  <si>
    <t>n</t>
  </si>
  <si>
    <t>p</t>
  </si>
  <si>
    <t>1-p</t>
  </si>
  <si>
    <t>期望</t>
  </si>
  <si>
    <t>标准差</t>
  </si>
  <si>
    <t>你就是究极非酋本人了，请问您有什么特别感想没</t>
  </si>
  <si>
    <t>浓郁的非酋气息正不断从你身体里涌现，你好非</t>
  </si>
  <si>
    <t>差距</t>
  </si>
  <si>
    <t>排名</t>
  </si>
  <si>
    <t>修正排名</t>
  </si>
  <si>
    <t>其实吧，你也就洒洒水一般非酋罢了，比你非的人也不少</t>
  </si>
  <si>
    <t>一般的感觉怎么样呢？其实还算挺好的</t>
  </si>
  <si>
    <t>还算小欧，不错嘛</t>
  </si>
  <si>
    <t>这已经不是一点欧了，必须出重拳</t>
  </si>
  <si>
    <t>答应我别再偷了好吗，已经.....偷太多了</t>
  </si>
  <si>
    <t>偷的是彩图，没的是寿命，地球上真的有这么欧的人吗</t>
  </si>
  <si>
    <t>本表基于假设获取天雷数目的概率密度服从正态分布的假设来计算你的欧气情况的。虽然图一乐不过准确性是有的</t>
  </si>
  <si>
    <t>←正态分布频率表</t>
  </si>
  <si>
    <t>魔方解析1h</t>
  </si>
  <si>
    <t>科研优先级</t>
  </si>
  <si>
    <t>项目性价比</t>
  </si>
  <si>
    <t>项目投入资源</t>
  </si>
  <si>
    <t>项目产出</t>
  </si>
  <si>
    <t>支出与收益计算</t>
  </si>
  <si>
    <t>魔方解析2h</t>
  </si>
  <si>
    <t>项目类别</t>
  </si>
  <si>
    <t>时长</t>
  </si>
  <si>
    <t>白天</t>
  </si>
  <si>
    <t>夜间</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</si>
  <si>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</si>
  <si>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</si>
  <si>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</si>
  <si>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</si>
  <si>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</si>
  <si>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</si>
  <si>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</si>
  <si>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</si>
  <si>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</si>
  <si>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</si>
  <si>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</si>
  <si>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</si>
  <si>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</si>
  <si>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</si>
  <si>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</si>
  <si>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</si>
  <si>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</si>
  <si>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</si>
  <si>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</si>
  <si>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</si>
  <si>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</si>
  <si>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</si>
  <si>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</si>
  <si>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</si>
  <si>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</si>
  <si>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</si>
  <si>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</si>
  <si>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</si>
  <si>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</si>
  <si>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</si>
  <si>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</si>
  <si>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</si>
  <si>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</si>
  <si>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</si>
  <si>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</si>
  <si>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</si>
  <si>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</si>
  <si>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</si>
  <si>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</si>
  <si>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</si>
  <si>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</si>
  <si>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</si>
  <si>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</si>
  <si>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</si>
  <si>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</si>
  <si>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</si>
  <si>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</si>
  <si>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</si>
  <si>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</si>
  <si>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</si>
  <si>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</si>
  <si>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</si>
  <si>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</si>
  <si>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</si>
  <si>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金彩比</t>
  </si>
  <si>
    <t>全年产量预计</t>
  </si>
  <si>
    <t>4期时间</t>
  </si>
  <si>
    <t>p1</t>
  </si>
  <si>
    <t>1-p1</t>
  </si>
  <si>
    <t>σ</t>
  </si>
  <si>
    <t>p2</t>
  </si>
  <si>
    <t>修正</t>
  </si>
  <si>
    <t>方差</t>
  </si>
  <si>
    <t>3西格玛</t>
  </si>
  <si>
    <t>min</t>
  </si>
  <si>
    <t>max</t>
  </si>
  <si>
    <t>实际范围</t>
  </si>
  <si>
    <t>已毕业</t>
  </si>
  <si>
    <t>还差</t>
  </si>
  <si>
    <t>定向</t>
  </si>
  <si>
    <t>随机</t>
  </si>
  <si>
    <t>和</t>
  </si>
  <si>
    <t>彩图产出</t>
  </si>
  <si>
    <t>金图产出</t>
  </si>
  <si>
    <t>1阶段速度</t>
  </si>
  <si>
    <t>2阶段速度</t>
  </si>
  <si>
    <t>3阶段速度</t>
  </si>
  <si>
    <t>1阶段天数</t>
  </si>
  <si>
    <t>2阶段天数</t>
  </si>
  <si>
    <t>3阶段天数</t>
  </si>
  <si>
    <t>剩余总数</t>
  </si>
  <si>
    <t>前3刷出</t>
  </si>
  <si>
    <t>后2刷出</t>
  </si>
  <si>
    <t>无</t>
  </si>
  <si>
    <t>刷出</t>
  </si>
  <si>
    <t>剩余</t>
  </si>
  <si>
    <t>选取率</t>
  </si>
  <si>
    <t>过滤成功率</t>
  </si>
  <si>
    <t>耗时</t>
  </si>
  <si>
    <t>过滤名次</t>
  </si>
  <si>
    <t>过滤失败</t>
  </si>
  <si>
    <t>实际选取率</t>
  </si>
  <si>
    <t>项目支出</t>
  </si>
  <si>
    <t>项目收益</t>
  </si>
  <si>
    <t>支出</t>
  </si>
  <si>
    <t>收益</t>
  </si>
  <si>
    <t>4期金池</t>
  </si>
  <si>
    <t>耗时平均值</t>
  </si>
  <si>
    <t>0次概率</t>
  </si>
  <si>
    <t>失败期望</t>
  </si>
  <si>
    <t>4期彩池</t>
  </si>
  <si>
    <t>科研次数</t>
  </si>
  <si>
    <t>出现期望</t>
  </si>
  <si>
    <t>23期船池</t>
  </si>
  <si>
    <t>项目选取率</t>
  </si>
  <si>
    <t>总收益</t>
  </si>
  <si>
    <t>总支出</t>
  </si>
  <si>
    <t>产出期望</t>
  </si>
  <si>
    <t>期望耗时</t>
  </si>
  <si>
    <t>总时长</t>
  </si>
  <si>
    <t>单次投入</t>
  </si>
  <si>
    <t>投入期望</t>
  </si>
  <si>
    <t>金装备</t>
  </si>
  <si>
    <t>耗魔方</t>
  </si>
  <si>
    <t>其他白嫖科研</t>
  </si>
  <si>
    <t>合计</t>
  </si>
  <si>
    <t>合计选取率</t>
  </si>
  <si>
    <t>合计收入</t>
  </si>
  <si>
    <t>合计支出</t>
  </si>
  <si>
    <t>过滤概率</t>
  </si>
  <si>
    <t>刷新性价比</t>
  </si>
  <si>
    <t>收菜次数</t>
  </si>
  <si>
    <t>次/天</t>
  </si>
  <si>
    <t>每日收益</t>
  </si>
  <si>
    <t>每日投入</t>
  </si>
  <si>
    <t>使用刷新概率</t>
  </si>
  <si>
    <t>单位支出收益</t>
  </si>
  <si>
    <t>过滤失败概率</t>
  </si>
  <si>
    <t>单位时间支出</t>
  </si>
  <si>
    <t>总过滤失败概率</t>
  </si>
  <si>
    <t>单位时间收益</t>
  </si>
  <si>
    <t>使用刷新</t>
  </si>
  <si>
    <t>优先</t>
  </si>
  <si>
    <t>过渡</t>
  </si>
  <si>
    <t>时间过滤</t>
  </si>
  <si>
    <t>是否可接夜间</t>
  </si>
  <si>
    <t>下个科研是否过滤安全</t>
  </si>
  <si>
    <t>安全空余</t>
  </si>
  <si>
    <t>性价比</t>
  </si>
  <si>
    <t>期望性价比</t>
  </si>
  <si>
    <t>点击收益2</t>
  </si>
  <si>
    <t>投入期望3</t>
  </si>
  <si>
    <t>点击收益3</t>
  </si>
  <si>
    <t>实际点击收入</t>
  </si>
  <si>
    <t>全名</t>
  </si>
  <si>
    <t>其他期Q1</t>
  </si>
  <si>
    <t>23期舰装解析1h</t>
  </si>
  <si>
    <t>时间价值</t>
  </si>
  <si>
    <t>白天投入</t>
  </si>
  <si>
    <t>白天产出</t>
  </si>
  <si>
    <t>夜晚投入</t>
  </si>
  <si>
    <t>夜晚产出</t>
  </si>
  <si>
    <t>白天占比</t>
  </si>
  <si>
    <t>夜晚占比</t>
  </si>
  <si>
    <t>刷新次数</t>
  </si>
  <si>
    <t>收益大于0项目</t>
  </si>
  <si>
    <t>安全时间</t>
  </si>
  <si>
    <t>安全概率</t>
  </si>
</sst>
</file>

<file path=xl/styles.xml><?xml version="1.0" encoding="utf-8"?>
<styleSheet xmlns="http://schemas.openxmlformats.org/spreadsheetml/2006/main">
  <numFmts count="19">
    <numFmt numFmtId="176" formatCode="0.00_ "/>
    <numFmt numFmtId="42" formatCode="_ &quot;￥&quot;* #,##0_ ;_ &quot;￥&quot;* \-#,##0_ ;_ &quot;￥&quot;* &quot;-&quot;_ ;_ @_ "/>
    <numFmt numFmtId="177" formatCode="0.000_ "/>
    <numFmt numFmtId="178" formatCode="0.0&quot;天&quot;"/>
    <numFmt numFmtId="43" formatCode="_ * #,##0.00_ ;_ * \-#,##0.00_ ;_ * &quot;-&quot;??_ ;_ @_ "/>
    <numFmt numFmtId="41" formatCode="_ * #,##0_ ;_ * \-#,##0_ ;_ * &quot;-&quot;_ ;_ @_ "/>
    <numFmt numFmtId="44" formatCode="_ &quot;￥&quot;* #,##0.00_ ;_ &quot;￥&quot;* \-#,##0.00_ ;_ &quot;￥&quot;* &quot;-&quot;??_ ;_ @_ "/>
    <numFmt numFmtId="179" formatCode="0.00&quot;张&quot;"/>
    <numFmt numFmtId="180" formatCode="0.0000_ "/>
    <numFmt numFmtId="181" formatCode="0_ "/>
    <numFmt numFmtId="182" formatCode="h:mm:ss;@"/>
    <numFmt numFmtId="183" formatCode="0.00&quot;张&quot;&quot;天&quot;&quot;雷&quot;"/>
    <numFmt numFmtId="184" formatCode="0.000%&quot;的&quot;&quot;玩&quot;&quot;家&quot;"/>
    <numFmt numFmtId="185" formatCode="yyyy&quot;年&quot;m&quot;月&quot;d&quot;日&quot;;@"/>
    <numFmt numFmtId="186" formatCode="h:mm;@"/>
    <numFmt numFmtId="187" formatCode="0&quot;小&quot;&quot;时&quot;"/>
    <numFmt numFmtId="188" formatCode="0.0&quot;次&quot;"/>
    <numFmt numFmtId="189" formatCode="0.0_ "/>
    <numFmt numFmtId="190" formatCode="0_ &quot;张&quot;"/>
  </numFmts>
  <fonts count="47">
    <font>
      <sz val="11"/>
      <color theme="1"/>
      <name val="宋体"/>
      <charset val="134"/>
      <scheme val="minor"/>
    </font>
    <font>
      <sz val="12"/>
      <name val="宋体"/>
      <charset val="134"/>
    </font>
    <font>
      <sz val="9"/>
      <color theme="1"/>
      <name val="宋体"/>
      <charset val="134"/>
      <scheme val="minor"/>
    </font>
    <font>
      <sz val="12"/>
      <color theme="1"/>
      <name val="宋体"/>
      <charset val="134"/>
      <scheme val="minor"/>
    </font>
    <font>
      <sz val="12"/>
      <color theme="1"/>
      <name val="宋体"/>
      <charset val="134"/>
    </font>
    <font>
      <sz val="14"/>
      <color theme="1"/>
      <name val="宋体"/>
      <charset val="134"/>
      <scheme val="minor"/>
    </font>
    <font>
      <sz val="16"/>
      <name val="宋体"/>
      <charset val="134"/>
    </font>
    <font>
      <b/>
      <sz val="11"/>
      <color theme="1"/>
      <name val="宋体"/>
      <charset val="134"/>
      <scheme val="minor"/>
    </font>
    <font>
      <u/>
      <sz val="11"/>
      <color rgb="FF800080"/>
      <name val="宋体"/>
      <charset val="0"/>
      <scheme val="minor"/>
    </font>
    <font>
      <u/>
      <sz val="13"/>
      <color rgb="FF800080"/>
      <name val="宋体"/>
      <charset val="0"/>
      <scheme val="minor"/>
    </font>
    <font>
      <b/>
      <sz val="20"/>
      <name val="宋体"/>
      <charset val="134"/>
    </font>
    <font>
      <b/>
      <sz val="12"/>
      <color rgb="FFFF0000"/>
      <name val="宋体"/>
      <charset val="134"/>
    </font>
    <font>
      <sz val="11"/>
      <name val="宋体"/>
      <charset val="134"/>
    </font>
    <font>
      <sz val="31"/>
      <color theme="1"/>
      <name val="宋体"/>
      <charset val="134"/>
      <scheme val="minor"/>
    </font>
    <font>
      <sz val="14"/>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3"/>
      <color theme="1"/>
      <name val="宋体"/>
      <charset val="134"/>
      <scheme val="minor"/>
    </font>
    <font>
      <b/>
      <sz val="14"/>
      <name val="宋体"/>
      <charset val="134"/>
    </font>
    <font>
      <u/>
      <sz val="11"/>
      <color rgb="FF800080"/>
      <name val="宋体"/>
      <charset val="134"/>
    </font>
    <font>
      <b/>
      <sz val="11"/>
      <color theme="3"/>
      <name val="宋体"/>
      <charset val="134"/>
      <scheme val="minor"/>
    </font>
    <font>
      <u/>
      <sz val="11"/>
      <color rgb="FF0000FF"/>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4"/>
      <color rgb="FFFF0000"/>
      <name val="宋体"/>
      <charset val="134"/>
      <scheme val="minor"/>
    </font>
    <font>
      <b/>
      <sz val="14"/>
      <color rgb="FFFF0000"/>
      <name val="宋体"/>
      <charset val="134"/>
      <scheme val="minor"/>
    </font>
    <font>
      <sz val="11"/>
      <color rgb="FFFF0000"/>
      <name val="宋体"/>
      <charset val="134"/>
    </font>
    <font>
      <b/>
      <sz val="11"/>
      <name val="宋体"/>
      <charset val="134"/>
    </font>
  </fonts>
  <fills count="50">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DEEAF6"/>
        <bgColor indexed="64"/>
      </patternFill>
    </fill>
    <fill>
      <patternFill patternType="solid">
        <fgColor rgb="FFFFF2CB"/>
        <bgColor indexed="64"/>
      </patternFill>
    </fill>
    <fill>
      <patternFill patternType="solid">
        <fgColor theme="0"/>
        <bgColor indexed="64"/>
      </patternFill>
    </fill>
    <fill>
      <patternFill patternType="solid">
        <fgColor theme="0"/>
        <bgColor indexed="64"/>
      </patternFill>
    </fill>
    <fill>
      <patternFill patternType="solid">
        <fgColor theme="0" tint="-0.05"/>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rgb="FFFF7FFF"/>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8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diagonal/>
    </border>
    <border>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23" borderId="0" applyNumberFormat="0" applyBorder="0" applyAlignment="0" applyProtection="0">
      <alignment vertical="center"/>
    </xf>
    <xf numFmtId="0" fontId="28" fillId="24" borderId="7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25" borderId="0" applyNumberFormat="0" applyBorder="0" applyAlignment="0" applyProtection="0">
      <alignment vertical="center"/>
    </xf>
    <xf numFmtId="0" fontId="32" fillId="27" borderId="0" applyNumberFormat="0" applyBorder="0" applyAlignment="0" applyProtection="0">
      <alignment vertical="center"/>
    </xf>
    <xf numFmtId="43" fontId="0" fillId="0" borderId="0" applyFont="0" applyFill="0" applyBorder="0" applyAlignment="0" applyProtection="0">
      <alignment vertical="center"/>
    </xf>
    <xf numFmtId="0" fontId="31" fillId="2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3" borderId="80" applyNumberFormat="0" applyFont="0" applyAlignment="0" applyProtection="0">
      <alignment vertical="center"/>
    </xf>
    <xf numFmtId="0" fontId="31" fillId="35"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9" applyNumberFormat="0" applyFill="0" applyAlignment="0" applyProtection="0">
      <alignment vertical="center"/>
    </xf>
    <xf numFmtId="0" fontId="36" fillId="0" borderId="79" applyNumberFormat="0" applyFill="0" applyAlignment="0" applyProtection="0">
      <alignment vertical="center"/>
    </xf>
    <xf numFmtId="0" fontId="31" fillId="10" borderId="0" applyNumberFormat="0" applyBorder="0" applyAlignment="0" applyProtection="0">
      <alignment vertical="center"/>
    </xf>
    <xf numFmtId="0" fontId="25" fillId="0" borderId="75" applyNumberFormat="0" applyFill="0" applyAlignment="0" applyProtection="0">
      <alignment vertical="center"/>
    </xf>
    <xf numFmtId="0" fontId="31" fillId="26" borderId="0" applyNumberFormat="0" applyBorder="0" applyAlignment="0" applyProtection="0">
      <alignment vertical="center"/>
    </xf>
    <xf numFmtId="0" fontId="35" fillId="28" borderId="78" applyNumberFormat="0" applyAlignment="0" applyProtection="0">
      <alignment vertical="center"/>
    </xf>
    <xf numFmtId="0" fontId="34" fillId="28" borderId="76" applyNumberFormat="0" applyAlignment="0" applyProtection="0">
      <alignment vertical="center"/>
    </xf>
    <xf numFmtId="0" fontId="40" fillId="36" borderId="82" applyNumberFormat="0" applyAlignment="0" applyProtection="0">
      <alignment vertical="center"/>
    </xf>
    <xf numFmtId="0" fontId="27" fillId="32" borderId="0" applyNumberFormat="0" applyBorder="0" applyAlignment="0" applyProtection="0">
      <alignment vertical="center"/>
    </xf>
    <xf numFmtId="0" fontId="31" fillId="37" borderId="0" applyNumberFormat="0" applyBorder="0" applyAlignment="0" applyProtection="0">
      <alignment vertical="center"/>
    </xf>
    <xf numFmtId="0" fontId="33" fillId="0" borderId="77" applyNumberFormat="0" applyFill="0" applyAlignment="0" applyProtection="0">
      <alignment vertical="center"/>
    </xf>
    <xf numFmtId="0" fontId="39" fillId="0" borderId="81" applyNumberFormat="0" applyFill="0" applyAlignment="0" applyProtection="0">
      <alignment vertical="center"/>
    </xf>
    <xf numFmtId="0" fontId="41" fillId="38" borderId="0" applyNumberFormat="0" applyBorder="0" applyAlignment="0" applyProtection="0">
      <alignment vertical="center"/>
    </xf>
    <xf numFmtId="0" fontId="42" fillId="39" borderId="0" applyNumberFormat="0" applyBorder="0" applyAlignment="0" applyProtection="0">
      <alignment vertical="center"/>
    </xf>
    <xf numFmtId="0" fontId="27" fillId="40" borderId="0" applyNumberFormat="0" applyBorder="0" applyAlignment="0" applyProtection="0">
      <alignment vertical="center"/>
    </xf>
    <xf numFmtId="0" fontId="31" fillId="41" borderId="0" applyNumberFormat="0" applyBorder="0" applyAlignment="0" applyProtection="0">
      <alignment vertical="center"/>
    </xf>
    <xf numFmtId="0" fontId="27" fillId="17" borderId="0" applyNumberFormat="0" applyBorder="0" applyAlignment="0" applyProtection="0">
      <alignment vertical="center"/>
    </xf>
    <xf numFmtId="0" fontId="27" fillId="42" borderId="0" applyNumberFormat="0" applyBorder="0" applyAlignment="0" applyProtection="0">
      <alignment vertical="center"/>
    </xf>
    <xf numFmtId="0" fontId="27" fillId="45" borderId="0" applyNumberFormat="0" applyBorder="0" applyAlignment="0" applyProtection="0">
      <alignment vertical="center"/>
    </xf>
    <xf numFmtId="0" fontId="27" fillId="44" borderId="0" applyNumberFormat="0" applyBorder="0" applyAlignment="0" applyProtection="0">
      <alignment vertical="center"/>
    </xf>
    <xf numFmtId="0" fontId="31" fillId="43" borderId="0" applyNumberFormat="0" applyBorder="0" applyAlignment="0" applyProtection="0">
      <alignment vertical="center"/>
    </xf>
    <xf numFmtId="0" fontId="31" fillId="34" borderId="0" applyNumberFormat="0" applyBorder="0" applyAlignment="0" applyProtection="0">
      <alignment vertical="center"/>
    </xf>
    <xf numFmtId="0" fontId="27" fillId="22" borderId="0" applyNumberFormat="0" applyBorder="0" applyAlignment="0" applyProtection="0">
      <alignment vertical="center"/>
    </xf>
    <xf numFmtId="0" fontId="27" fillId="46" borderId="0" applyNumberFormat="0" applyBorder="0" applyAlignment="0" applyProtection="0">
      <alignment vertical="center"/>
    </xf>
    <xf numFmtId="0" fontId="31" fillId="48" borderId="0" applyNumberFormat="0" applyBorder="0" applyAlignment="0" applyProtection="0">
      <alignment vertical="center"/>
    </xf>
    <xf numFmtId="0" fontId="27" fillId="30" borderId="0" applyNumberFormat="0" applyBorder="0" applyAlignment="0" applyProtection="0">
      <alignment vertical="center"/>
    </xf>
    <xf numFmtId="0" fontId="31" fillId="9" borderId="0" applyNumberFormat="0" applyBorder="0" applyAlignment="0" applyProtection="0">
      <alignment vertical="center"/>
    </xf>
    <xf numFmtId="0" fontId="31" fillId="31" borderId="0" applyNumberFormat="0" applyBorder="0" applyAlignment="0" applyProtection="0">
      <alignment vertical="center"/>
    </xf>
    <xf numFmtId="0" fontId="27" fillId="47" borderId="0" applyNumberFormat="0" applyBorder="0" applyAlignment="0" applyProtection="0">
      <alignment vertical="center"/>
    </xf>
    <xf numFmtId="0" fontId="31" fillId="49" borderId="0" applyNumberFormat="0" applyBorder="0" applyAlignment="0" applyProtection="0">
      <alignment vertical="center"/>
    </xf>
  </cellStyleXfs>
  <cellXfs count="703">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2" fillId="0" borderId="12" xfId="0" applyFont="1" applyBorder="1">
      <alignment vertical="center"/>
    </xf>
    <xf numFmtId="0" fontId="1" fillId="0" borderId="12"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0" fontId="2" fillId="0" borderId="15" xfId="0" applyFont="1" applyBorder="1">
      <alignment vertical="center"/>
    </xf>
    <xf numFmtId="0" fontId="1" fillId="0" borderId="15" xfId="0" applyFont="1" applyFill="1" applyBorder="1" applyAlignment="1">
      <alignment horizontal="lef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2" fillId="0" borderId="15" xfId="0" applyFont="1" applyBorder="1" applyAlignment="1">
      <alignment horizontal="left" vertical="center"/>
    </xf>
    <xf numFmtId="0" fontId="0" fillId="0" borderId="18" xfId="0" applyFill="1" applyBorder="1">
      <alignment vertical="center"/>
    </xf>
    <xf numFmtId="0" fontId="2" fillId="0" borderId="19" xfId="0" applyFont="1" applyBorder="1">
      <alignment vertical="center"/>
    </xf>
    <xf numFmtId="0" fontId="1" fillId="0" borderId="19" xfId="0" applyFont="1" applyFill="1" applyBorder="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1" xfId="0" applyFill="1" applyBorder="1">
      <alignment vertical="center"/>
    </xf>
    <xf numFmtId="0" fontId="0" fillId="0" borderId="19"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6" xfId="0" applyFill="1" applyBorder="1" applyAlignment="1">
      <alignment horizontal="left" vertical="center"/>
    </xf>
    <xf numFmtId="0" fontId="0" fillId="0" borderId="27" xfId="0" applyFill="1" applyBorder="1">
      <alignment vertical="center"/>
    </xf>
    <xf numFmtId="0" fontId="0" fillId="0" borderId="28" xfId="0" applyFill="1" applyBorder="1">
      <alignment vertical="center"/>
    </xf>
    <xf numFmtId="0" fontId="0" fillId="0" borderId="16" xfId="0" applyBorder="1">
      <alignment vertical="center"/>
    </xf>
    <xf numFmtId="0" fontId="0" fillId="0" borderId="15" xfId="0" applyBorder="1">
      <alignment vertical="center"/>
    </xf>
    <xf numFmtId="0" fontId="0" fillId="0" borderId="28" xfId="0" applyBorder="1">
      <alignment vertical="center"/>
    </xf>
    <xf numFmtId="0" fontId="0" fillId="0" borderId="18" xfId="0" applyBorder="1">
      <alignment vertical="center"/>
    </xf>
    <xf numFmtId="0" fontId="0" fillId="0" borderId="19" xfId="0" applyBorder="1">
      <alignment vertical="center"/>
    </xf>
    <xf numFmtId="0" fontId="0" fillId="0" borderId="29" xfId="0" applyBorder="1">
      <alignment vertical="center"/>
    </xf>
    <xf numFmtId="0" fontId="0" fillId="0" borderId="30" xfId="0" applyFill="1" applyBorder="1">
      <alignment vertical="center"/>
    </xf>
    <xf numFmtId="0" fontId="1" fillId="0" borderId="31" xfId="0" applyFont="1" applyFill="1" applyBorder="1" applyAlignment="1">
      <alignment horizontal="left" vertical="center"/>
    </xf>
    <xf numFmtId="0" fontId="0" fillId="0" borderId="32" xfId="0" applyFill="1" applyBorder="1">
      <alignment vertical="center"/>
    </xf>
    <xf numFmtId="0" fontId="1" fillId="0" borderId="33" xfId="0" applyFont="1" applyFill="1" applyBorder="1" applyAlignment="1">
      <alignment horizontal="left" vertical="center"/>
    </xf>
    <xf numFmtId="0" fontId="0" fillId="0" borderId="0" xfId="0" applyBorder="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0" fillId="0" borderId="12" xfId="0" applyFill="1" applyBorder="1" applyAlignment="1">
      <alignment horizontal="centerContinuous" vertical="center"/>
    </xf>
    <xf numFmtId="0" fontId="0" fillId="0" borderId="12" xfId="0" applyFill="1" applyBorder="1" applyAlignment="1">
      <alignment vertical="center"/>
    </xf>
    <xf numFmtId="0" fontId="0" fillId="0" borderId="15" xfId="0" applyFill="1" applyBorder="1" applyAlignment="1">
      <alignment horizontal="centerContinuous" vertical="center"/>
    </xf>
    <xf numFmtId="0" fontId="0" fillId="0" borderId="15" xfId="0" applyFill="1" applyBorder="1" applyAlignment="1">
      <alignment vertical="center"/>
    </xf>
    <xf numFmtId="176" fontId="1" fillId="0" borderId="16" xfId="0" applyNumberFormat="1" applyFont="1" applyFill="1" applyBorder="1" applyAlignment="1">
      <alignment horizontal="left" vertical="center"/>
    </xf>
    <xf numFmtId="176" fontId="1" fillId="0" borderId="15" xfId="0" applyNumberFormat="1" applyFont="1" applyFill="1" applyBorder="1" applyAlignment="1">
      <alignment horizontal="left" vertical="center"/>
    </xf>
    <xf numFmtId="177" fontId="1" fillId="0" borderId="15" xfId="0" applyNumberFormat="1" applyFont="1" applyFill="1" applyBorder="1" applyAlignment="1">
      <alignment horizontal="left" vertical="center"/>
    </xf>
    <xf numFmtId="0" fontId="0" fillId="0" borderId="31" xfId="0" applyFill="1" applyBorder="1">
      <alignment vertical="center"/>
    </xf>
    <xf numFmtId="0" fontId="0" fillId="0" borderId="34" xfId="0" applyFill="1" applyBorder="1">
      <alignment vertical="center"/>
    </xf>
    <xf numFmtId="0" fontId="0" fillId="0" borderId="33" xfId="0" applyFill="1" applyBorder="1">
      <alignment vertical="center"/>
    </xf>
    <xf numFmtId="0" fontId="0" fillId="0" borderId="35" xfId="0" applyFill="1" applyBorder="1">
      <alignment vertical="center"/>
    </xf>
    <xf numFmtId="176" fontId="1" fillId="0" borderId="18" xfId="0" applyNumberFormat="1" applyFont="1" applyFill="1" applyBorder="1" applyAlignment="1">
      <alignment horizontal="left" vertical="center"/>
    </xf>
    <xf numFmtId="176" fontId="1" fillId="0" borderId="19" xfId="0" applyNumberFormat="1" applyFont="1" applyFill="1" applyBorder="1" applyAlignment="1">
      <alignment horizontal="left" vertical="center"/>
    </xf>
    <xf numFmtId="177" fontId="1" fillId="0" borderId="19" xfId="0" applyNumberFormat="1" applyFont="1" applyFill="1" applyBorder="1" applyAlignment="1">
      <alignment horizontal="left" vertical="center"/>
    </xf>
    <xf numFmtId="0" fontId="0" fillId="0" borderId="36" xfId="0" applyBorder="1" applyAlignment="1">
      <alignment horizontal="centerContinuous"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3" xfId="0" applyFill="1" applyBorder="1">
      <alignment vertical="center"/>
    </xf>
    <xf numFmtId="0" fontId="0" fillId="0" borderId="17" xfId="0" applyFill="1" applyBorder="1">
      <alignment vertical="center"/>
    </xf>
    <xf numFmtId="0" fontId="0" fillId="0" borderId="20" xfId="0" applyFill="1" applyBorder="1">
      <alignment vertical="center"/>
    </xf>
    <xf numFmtId="0" fontId="0" fillId="0" borderId="36" xfId="0" applyFill="1" applyBorder="1">
      <alignment vertical="center"/>
    </xf>
    <xf numFmtId="0" fontId="0" fillId="0" borderId="37" xfId="0" applyFill="1" applyBorder="1">
      <alignment vertical="center"/>
    </xf>
    <xf numFmtId="0" fontId="0" fillId="0" borderId="38" xfId="0" applyFill="1" applyBorder="1">
      <alignment vertical="center"/>
    </xf>
    <xf numFmtId="0" fontId="0" fillId="0" borderId="27"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176" fontId="0" fillId="0" borderId="15" xfId="0" applyNumberFormat="1" applyFill="1" applyBorder="1">
      <alignment vertical="center"/>
    </xf>
    <xf numFmtId="0" fontId="0" fillId="0" borderId="26" xfId="0" applyFill="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181" fontId="1" fillId="0" borderId="15" xfId="0" applyNumberFormat="1" applyFont="1" applyFill="1" applyBorder="1" applyAlignment="1">
      <alignment horizontal="left" vertical="center"/>
    </xf>
    <xf numFmtId="181" fontId="1" fillId="0" borderId="19" xfId="0" applyNumberFormat="1" applyFont="1" applyFill="1" applyBorder="1" applyAlignment="1">
      <alignment horizontal="left"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41" xfId="0" applyFill="1" applyBorder="1">
      <alignment vertical="center"/>
    </xf>
    <xf numFmtId="0" fontId="1" fillId="0" borderId="42" xfId="0" applyFont="1" applyFill="1" applyBorder="1" applyAlignment="1">
      <alignment horizontal="left" vertical="center"/>
    </xf>
    <xf numFmtId="0" fontId="0" fillId="0" borderId="31" xfId="0" applyFill="1" applyBorder="1" applyAlignment="1">
      <alignment horizontal="centerContinuous" vertical="center"/>
    </xf>
    <xf numFmtId="0" fontId="0" fillId="0" borderId="31" xfId="0" applyFill="1" applyBorder="1" applyAlignment="1">
      <alignment vertical="center"/>
    </xf>
    <xf numFmtId="176" fontId="1" fillId="0" borderId="11"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177" fontId="1" fillId="0" borderId="12" xfId="0" applyNumberFormat="1" applyFont="1" applyFill="1" applyBorder="1" applyAlignment="1">
      <alignment horizontal="left" vertical="center"/>
    </xf>
    <xf numFmtId="0" fontId="0" fillId="0" borderId="29" xfId="0" applyFill="1" applyBorder="1">
      <alignment vertical="center"/>
    </xf>
    <xf numFmtId="0" fontId="0" fillId="0" borderId="42" xfId="0" applyFill="1" applyBorder="1">
      <alignment vertical="center"/>
    </xf>
    <xf numFmtId="0" fontId="0" fillId="0" borderId="43" xfId="0" applyFill="1" applyBorder="1">
      <alignment vertical="center"/>
    </xf>
    <xf numFmtId="176" fontId="1" fillId="0" borderId="41" xfId="0" applyNumberFormat="1" applyFont="1" applyFill="1" applyBorder="1" applyAlignment="1">
      <alignment horizontal="left" vertical="center"/>
    </xf>
    <xf numFmtId="176" fontId="1" fillId="0" borderId="42" xfId="0" applyNumberFormat="1" applyFont="1" applyFill="1" applyBorder="1" applyAlignment="1">
      <alignment horizontal="left" vertical="center"/>
    </xf>
    <xf numFmtId="177" fontId="1" fillId="0" borderId="42" xfId="0" applyNumberFormat="1" applyFont="1" applyFill="1" applyBorder="1" applyAlignment="1">
      <alignment horizontal="left" vertical="center"/>
    </xf>
    <xf numFmtId="176" fontId="1" fillId="0" borderId="30" xfId="0" applyNumberFormat="1" applyFont="1" applyFill="1" applyBorder="1" applyAlignment="1">
      <alignment horizontal="left" vertical="center"/>
    </xf>
    <xf numFmtId="176" fontId="1" fillId="0" borderId="31" xfId="0" applyNumberFormat="1" applyFont="1" applyFill="1" applyBorder="1" applyAlignment="1">
      <alignment horizontal="left" vertical="center"/>
    </xf>
    <xf numFmtId="177" fontId="1" fillId="0" borderId="31" xfId="0" applyNumberFormat="1" applyFont="1" applyFill="1" applyBorder="1" applyAlignment="1">
      <alignment horizontal="left" vertical="center"/>
    </xf>
    <xf numFmtId="0" fontId="0" fillId="0" borderId="31" xfId="0" applyBorder="1">
      <alignment vertical="center"/>
    </xf>
    <xf numFmtId="176" fontId="0" fillId="0" borderId="42" xfId="0" applyNumberFormat="1" applyFill="1" applyBorder="1">
      <alignment vertical="center"/>
    </xf>
    <xf numFmtId="0" fontId="0" fillId="0" borderId="44" xfId="0" applyFill="1" applyBorder="1">
      <alignment vertical="center"/>
    </xf>
    <xf numFmtId="181" fontId="1" fillId="0" borderId="12" xfId="0" applyNumberFormat="1" applyFont="1" applyFill="1" applyBorder="1" applyAlignment="1">
      <alignment horizontal="left" vertical="center"/>
    </xf>
    <xf numFmtId="181" fontId="1" fillId="0" borderId="42" xfId="0" applyNumberFormat="1" applyFont="1" applyFill="1" applyBorder="1" applyAlignment="1">
      <alignment horizontal="left" vertical="center"/>
    </xf>
    <xf numFmtId="0" fontId="0" fillId="0" borderId="45" xfId="0" applyFill="1" applyBorder="1">
      <alignment vertical="center"/>
    </xf>
    <xf numFmtId="181" fontId="1" fillId="0" borderId="31" xfId="0" applyNumberFormat="1" applyFont="1" applyFill="1" applyBorder="1" applyAlignment="1">
      <alignment horizontal="left" vertical="center"/>
    </xf>
    <xf numFmtId="10" fontId="0" fillId="0" borderId="0" xfId="0" applyNumberFormat="1" applyBorder="1">
      <alignment vertical="center"/>
    </xf>
    <xf numFmtId="0" fontId="1" fillId="2" borderId="36" xfId="0" applyFont="1" applyFill="1" applyBorder="1" applyAlignment="1">
      <alignment horizontal="center" vertical="center"/>
    </xf>
    <xf numFmtId="0" fontId="1" fillId="5" borderId="46" xfId="0" applyFont="1" applyFill="1" applyBorder="1" applyAlignment="1">
      <alignment horizontal="left" vertical="center"/>
    </xf>
    <xf numFmtId="0" fontId="1" fillId="8" borderId="46" xfId="0" applyFont="1" applyFill="1" applyBorder="1" applyAlignment="1">
      <alignment horizontal="left" vertical="center"/>
    </xf>
    <xf numFmtId="0" fontId="1" fillId="6" borderId="47" xfId="0" applyFont="1" applyFill="1" applyBorder="1" applyAlignment="1">
      <alignment horizontal="left" vertical="center"/>
    </xf>
    <xf numFmtId="0" fontId="1" fillId="8" borderId="47" xfId="0" applyFont="1" applyFill="1" applyBorder="1" applyAlignment="1">
      <alignment horizontal="left" vertical="center"/>
    </xf>
    <xf numFmtId="0" fontId="1" fillId="2" borderId="47" xfId="0" applyFont="1" applyFill="1" applyBorder="1" applyAlignment="1">
      <alignment horizontal="left" vertical="center"/>
    </xf>
    <xf numFmtId="0" fontId="1" fillId="2" borderId="48" xfId="0" applyFont="1" applyFill="1" applyBorder="1" applyAlignment="1">
      <alignment horizontal="left" vertical="center"/>
    </xf>
    <xf numFmtId="0" fontId="1" fillId="8" borderId="48" xfId="0" applyFont="1" applyFill="1" applyBorder="1" applyAlignment="1">
      <alignment horizontal="left" vertical="center"/>
    </xf>
    <xf numFmtId="0" fontId="1" fillId="8" borderId="49" xfId="0" applyFont="1" applyFill="1" applyBorder="1" applyAlignment="1">
      <alignment horizontal="left" vertical="center"/>
    </xf>
    <xf numFmtId="0" fontId="1" fillId="8" borderId="22" xfId="0" applyFont="1" applyFill="1" applyBorder="1" applyAlignment="1">
      <alignment horizontal="left" vertical="center"/>
    </xf>
    <xf numFmtId="0" fontId="1" fillId="8" borderId="5" xfId="0" applyFont="1" applyFill="1" applyBorder="1" applyAlignment="1">
      <alignment horizontal="left" vertical="center"/>
    </xf>
    <xf numFmtId="0" fontId="1" fillId="8" borderId="9" xfId="0" applyFont="1" applyFill="1" applyBorder="1" applyAlignment="1">
      <alignment horizontal="left" vertical="center"/>
    </xf>
    <xf numFmtId="0" fontId="1" fillId="8" borderId="7" xfId="0" applyFont="1" applyFill="1" applyBorder="1" applyAlignment="1">
      <alignment horizontal="left" vertical="center"/>
    </xf>
    <xf numFmtId="0" fontId="1" fillId="8" borderId="50" xfId="0" applyFont="1" applyFill="1" applyBorder="1" applyAlignment="1">
      <alignment horizontal="left" vertical="center"/>
    </xf>
    <xf numFmtId="0" fontId="1" fillId="8" borderId="3" xfId="0" applyFont="1" applyFill="1" applyBorder="1" applyAlignment="1">
      <alignment horizontal="left" vertical="center"/>
    </xf>
    <xf numFmtId="22" fontId="0" fillId="0" borderId="0" xfId="0" applyNumberFormat="1">
      <alignment vertical="center"/>
    </xf>
    <xf numFmtId="182" fontId="0" fillId="0" borderId="0" xfId="0" applyNumberFormat="1">
      <alignment vertical="center"/>
    </xf>
    <xf numFmtId="0" fontId="1" fillId="2" borderId="51" xfId="0" applyFont="1" applyFill="1" applyBorder="1" applyAlignment="1">
      <alignment horizontal="center" vertical="center"/>
    </xf>
    <xf numFmtId="0" fontId="1" fillId="9"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0" borderId="50" xfId="0" applyFont="1" applyFill="1" applyBorder="1" applyAlignment="1">
      <alignment horizontal="center" vertical="center"/>
    </xf>
    <xf numFmtId="0" fontId="1" fillId="3" borderId="52" xfId="0" applyFont="1" applyFill="1" applyBorder="1" applyAlignment="1">
      <alignment horizontal="center" vertical="center"/>
    </xf>
    <xf numFmtId="0" fontId="1" fillId="5"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25" xfId="0" applyFont="1" applyFill="1" applyBorder="1" applyAlignment="1">
      <alignment horizontal="center" vertical="center"/>
    </xf>
    <xf numFmtId="180" fontId="1" fillId="11" borderId="39" xfId="0" applyNumberFormat="1" applyFont="1" applyFill="1" applyBorder="1" applyAlignment="1">
      <alignment horizontal="left" vertical="center"/>
    </xf>
    <xf numFmtId="180" fontId="1" fillId="11" borderId="5" xfId="0" applyNumberFormat="1" applyFont="1" applyFill="1" applyBorder="1" applyAlignment="1">
      <alignment horizontal="left" vertical="center"/>
    </xf>
    <xf numFmtId="181" fontId="1" fillId="12" borderId="41" xfId="0" applyNumberFormat="1" applyFont="1" applyFill="1" applyBorder="1" applyAlignment="1">
      <alignment horizontal="left" vertical="center"/>
    </xf>
    <xf numFmtId="181" fontId="1" fillId="11" borderId="43" xfId="0" applyNumberFormat="1" applyFont="1" applyFill="1" applyBorder="1" applyAlignment="1">
      <alignment horizontal="left" vertical="center"/>
    </xf>
    <xf numFmtId="176" fontId="1" fillId="13" borderId="55" xfId="0" applyNumberFormat="1" applyFont="1" applyFill="1" applyBorder="1" applyAlignment="1">
      <alignment horizontal="left" vertical="center"/>
    </xf>
    <xf numFmtId="176" fontId="1" fillId="13" borderId="0" xfId="0" applyNumberFormat="1" applyFont="1" applyFill="1" applyBorder="1" applyAlignment="1">
      <alignment horizontal="left" vertical="center"/>
    </xf>
    <xf numFmtId="0" fontId="3" fillId="0" borderId="56" xfId="0" applyFont="1" applyBorder="1" applyAlignment="1">
      <alignment horizontal="left" vertical="center"/>
    </xf>
    <xf numFmtId="0" fontId="1" fillId="8" borderId="6" xfId="0" applyFont="1" applyFill="1" applyBorder="1" applyAlignment="1">
      <alignment horizontal="left" vertical="center"/>
    </xf>
    <xf numFmtId="180" fontId="1" fillId="11" borderId="57" xfId="0" applyNumberFormat="1" applyFont="1" applyFill="1" applyBorder="1" applyAlignment="1">
      <alignment horizontal="left" vertical="center"/>
    </xf>
    <xf numFmtId="180" fontId="1" fillId="11" borderId="6" xfId="0" applyNumberFormat="1" applyFont="1" applyFill="1" applyBorder="1" applyAlignment="1">
      <alignment horizontal="left" vertical="center"/>
    </xf>
    <xf numFmtId="181" fontId="1" fillId="12" borderId="16" xfId="0" applyNumberFormat="1" applyFont="1" applyFill="1" applyBorder="1" applyAlignment="1">
      <alignment horizontal="left" vertical="center"/>
    </xf>
    <xf numFmtId="181" fontId="1" fillId="11" borderId="28" xfId="0" applyNumberFormat="1" applyFont="1" applyFill="1" applyBorder="1" applyAlignment="1">
      <alignment horizontal="left" vertical="center"/>
    </xf>
    <xf numFmtId="176" fontId="1" fillId="13" borderId="30" xfId="0" applyNumberFormat="1" applyFont="1" applyFill="1" applyBorder="1" applyAlignment="1">
      <alignment horizontal="left" vertical="center"/>
    </xf>
    <xf numFmtId="176" fontId="1" fillId="13" borderId="58" xfId="0" applyNumberFormat="1" applyFont="1" applyFill="1" applyBorder="1" applyAlignment="1">
      <alignment horizontal="left" vertical="center"/>
    </xf>
    <xf numFmtId="0" fontId="3" fillId="0" borderId="15" xfId="0" applyFont="1" applyBorder="1" applyAlignment="1">
      <alignment horizontal="left" vertical="center"/>
    </xf>
    <xf numFmtId="176" fontId="1" fillId="13" borderId="16" xfId="0" applyNumberFormat="1" applyFont="1" applyFill="1" applyBorder="1" applyAlignment="1">
      <alignment horizontal="left" vertical="center"/>
    </xf>
    <xf numFmtId="176" fontId="1" fillId="13" borderId="57" xfId="0" applyNumberFormat="1" applyFont="1" applyFill="1" applyBorder="1" applyAlignment="1">
      <alignment horizontal="left" vertical="center"/>
    </xf>
    <xf numFmtId="0" fontId="1" fillId="8" borderId="8" xfId="0" applyFont="1" applyFill="1" applyBorder="1" applyAlignment="1">
      <alignment horizontal="left" vertical="center"/>
    </xf>
    <xf numFmtId="180" fontId="1" fillId="11" borderId="59" xfId="0" applyNumberFormat="1" applyFont="1" applyFill="1" applyBorder="1" applyAlignment="1">
      <alignment horizontal="left" vertical="center"/>
    </xf>
    <xf numFmtId="180" fontId="1" fillId="11" borderId="9" xfId="0" applyNumberFormat="1" applyFont="1" applyFill="1" applyBorder="1" applyAlignment="1">
      <alignment horizontal="left" vertical="center"/>
    </xf>
    <xf numFmtId="181" fontId="1" fillId="12" borderId="18" xfId="0" applyNumberFormat="1" applyFont="1" applyFill="1" applyBorder="1" applyAlignment="1">
      <alignment horizontal="left" vertical="center"/>
    </xf>
    <xf numFmtId="181" fontId="1" fillId="11" borderId="29" xfId="0" applyNumberFormat="1" applyFont="1" applyFill="1" applyBorder="1" applyAlignment="1">
      <alignment horizontal="left" vertical="center"/>
    </xf>
    <xf numFmtId="180" fontId="1" fillId="11" borderId="60" xfId="0" applyNumberFormat="1" applyFont="1" applyFill="1" applyBorder="1" applyAlignment="1">
      <alignment horizontal="left" vertical="center"/>
    </xf>
    <xf numFmtId="181" fontId="1" fillId="12" borderId="11" xfId="0" applyNumberFormat="1" applyFont="1" applyFill="1" applyBorder="1" applyAlignment="1">
      <alignment horizontal="left" vertical="center"/>
    </xf>
    <xf numFmtId="181" fontId="1" fillId="11" borderId="27" xfId="0" applyNumberFormat="1" applyFont="1" applyFill="1" applyBorder="1" applyAlignment="1">
      <alignment horizontal="left" vertical="center"/>
    </xf>
    <xf numFmtId="176" fontId="1" fillId="13" borderId="61" xfId="0" applyNumberFormat="1" applyFont="1" applyFill="1" applyBorder="1" applyAlignment="1">
      <alignment horizontal="left" vertical="center"/>
    </xf>
    <xf numFmtId="176" fontId="1" fillId="13" borderId="37" xfId="0" applyNumberFormat="1" applyFont="1" applyFill="1" applyBorder="1" applyAlignment="1">
      <alignment horizontal="left" vertical="center"/>
    </xf>
    <xf numFmtId="176" fontId="1" fillId="13" borderId="62" xfId="0" applyNumberFormat="1" applyFont="1" applyFill="1" applyBorder="1" applyAlignment="1">
      <alignment horizontal="left" vertical="center"/>
    </xf>
    <xf numFmtId="176" fontId="1" fillId="13" borderId="28" xfId="0" applyNumberFormat="1" applyFont="1" applyFill="1" applyBorder="1" applyAlignment="1">
      <alignment horizontal="left" vertical="center"/>
    </xf>
    <xf numFmtId="176" fontId="1" fillId="13" borderId="56" xfId="0" applyNumberFormat="1" applyFont="1" applyFill="1" applyBorder="1" applyAlignment="1">
      <alignment horizontal="left" vertical="center"/>
    </xf>
    <xf numFmtId="180" fontId="1" fillId="11" borderId="58" xfId="0" applyNumberFormat="1" applyFont="1" applyFill="1" applyBorder="1" applyAlignment="1">
      <alignment horizontal="left" vertical="center"/>
    </xf>
    <xf numFmtId="176" fontId="1" fillId="13" borderId="18" xfId="0" applyNumberFormat="1" applyFont="1" applyFill="1" applyBorder="1" applyAlignment="1">
      <alignment horizontal="left" vertical="center"/>
    </xf>
    <xf numFmtId="176" fontId="1" fillId="13" borderId="59" xfId="0" applyNumberFormat="1" applyFont="1" applyFill="1" applyBorder="1" applyAlignment="1">
      <alignment horizontal="left" vertical="center"/>
    </xf>
    <xf numFmtId="176" fontId="1" fillId="13" borderId="29" xfId="0" applyNumberFormat="1" applyFont="1" applyFill="1" applyBorder="1" applyAlignment="1">
      <alignment horizontal="left" vertical="center"/>
    </xf>
    <xf numFmtId="176" fontId="1" fillId="13" borderId="41" xfId="0" applyNumberFormat="1" applyFont="1" applyFill="1" applyBorder="1" applyAlignment="1">
      <alignment horizontal="left" vertical="center"/>
    </xf>
    <xf numFmtId="176" fontId="1" fillId="13" borderId="60" xfId="0" applyNumberFormat="1" applyFont="1" applyFill="1" applyBorder="1" applyAlignment="1">
      <alignment horizontal="left" vertical="center"/>
    </xf>
    <xf numFmtId="176" fontId="1" fillId="13" borderId="43" xfId="0" applyNumberFormat="1" applyFont="1" applyFill="1" applyBorder="1" applyAlignment="1">
      <alignment horizontal="left" vertical="center"/>
    </xf>
    <xf numFmtId="176" fontId="1" fillId="13" borderId="34" xfId="0" applyNumberFormat="1" applyFont="1" applyFill="1" applyBorder="1" applyAlignment="1">
      <alignment horizontal="left" vertical="center"/>
    </xf>
    <xf numFmtId="176" fontId="1" fillId="13" borderId="52" xfId="0" applyNumberFormat="1" applyFont="1" applyFill="1" applyBorder="1" applyAlignment="1">
      <alignment horizontal="left" vertical="center"/>
    </xf>
    <xf numFmtId="176" fontId="1" fillId="13" borderId="25" xfId="0" applyNumberFormat="1" applyFont="1" applyFill="1" applyBorder="1" applyAlignment="1">
      <alignment horizontal="left" vertical="center"/>
    </xf>
    <xf numFmtId="176" fontId="1" fillId="13" borderId="63" xfId="0" applyNumberFormat="1" applyFont="1" applyFill="1" applyBorder="1" applyAlignment="1">
      <alignment horizontal="left" vertical="center"/>
    </xf>
    <xf numFmtId="176" fontId="1" fillId="13" borderId="11" xfId="0" applyNumberFormat="1" applyFont="1" applyFill="1" applyBorder="1" applyAlignment="1">
      <alignment horizontal="left" vertical="center"/>
    </xf>
    <xf numFmtId="176" fontId="1" fillId="13" borderId="39" xfId="0" applyNumberFormat="1" applyFont="1" applyFill="1" applyBorder="1" applyAlignment="1">
      <alignment horizontal="left" vertical="center"/>
    </xf>
    <xf numFmtId="176" fontId="1" fillId="13" borderId="27" xfId="0" applyNumberFormat="1" applyFont="1" applyFill="1" applyBorder="1" applyAlignment="1">
      <alignment horizontal="left" vertical="center"/>
    </xf>
    <xf numFmtId="180" fontId="1" fillId="11" borderId="50" xfId="0" applyNumberFormat="1" applyFont="1" applyFill="1" applyBorder="1" applyAlignment="1">
      <alignment horizontal="left" vertical="center"/>
    </xf>
    <xf numFmtId="180" fontId="1" fillId="11" borderId="1" xfId="0" applyNumberFormat="1" applyFont="1" applyFill="1" applyBorder="1" applyAlignment="1">
      <alignment horizontal="left" vertical="center"/>
    </xf>
    <xf numFmtId="180" fontId="1" fillId="11" borderId="3" xfId="0" applyNumberFormat="1" applyFont="1" applyFill="1" applyBorder="1" applyAlignment="1">
      <alignment horizontal="left" vertical="center"/>
    </xf>
    <xf numFmtId="181" fontId="1" fillId="12" borderId="32" xfId="0" applyNumberFormat="1" applyFont="1" applyFill="1" applyBorder="1" applyAlignment="1">
      <alignment horizontal="left" vertical="center"/>
    </xf>
    <xf numFmtId="181" fontId="1" fillId="11" borderId="35"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1" fillId="7" borderId="53"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5" xfId="0" applyFill="1" applyBorder="1">
      <alignment vertical="center"/>
    </xf>
    <xf numFmtId="0" fontId="0" fillId="0" borderId="3" xfId="0" applyBorder="1">
      <alignment vertical="center"/>
    </xf>
    <xf numFmtId="177" fontId="1" fillId="13" borderId="43" xfId="0" applyNumberFormat="1" applyFont="1" applyFill="1" applyBorder="1" applyAlignment="1">
      <alignment horizontal="left" vertical="center"/>
    </xf>
    <xf numFmtId="181" fontId="1" fillId="12" borderId="39" xfId="0" applyNumberFormat="1" applyFont="1" applyFill="1" applyBorder="1" applyAlignment="1">
      <alignment horizontal="left" vertical="center"/>
    </xf>
    <xf numFmtId="176" fontId="1" fillId="12" borderId="27" xfId="0" applyNumberFormat="1" applyFont="1" applyFill="1" applyBorder="1" applyAlignment="1">
      <alignment horizontal="left" vertical="center"/>
    </xf>
    <xf numFmtId="176" fontId="1" fillId="12" borderId="11" xfId="0" applyNumberFormat="1" applyFont="1" applyFill="1" applyBorder="1" applyAlignment="1">
      <alignment horizontal="left" vertical="center"/>
    </xf>
    <xf numFmtId="0" fontId="0" fillId="12" borderId="13" xfId="0" applyFill="1" applyBorder="1">
      <alignment vertical="center"/>
    </xf>
    <xf numFmtId="177" fontId="1" fillId="13" borderId="28" xfId="0" applyNumberFormat="1" applyFont="1" applyFill="1" applyBorder="1" applyAlignment="1">
      <alignment horizontal="left" vertical="center"/>
    </xf>
    <xf numFmtId="181" fontId="1" fillId="12" borderId="60" xfId="0" applyNumberFormat="1" applyFont="1" applyFill="1" applyBorder="1" applyAlignment="1">
      <alignment horizontal="left" vertical="center"/>
    </xf>
    <xf numFmtId="176" fontId="1" fillId="12" borderId="28" xfId="0" applyNumberFormat="1" applyFont="1" applyFill="1" applyBorder="1" applyAlignment="1">
      <alignment horizontal="left" vertical="center"/>
    </xf>
    <xf numFmtId="176" fontId="1" fillId="12" borderId="16" xfId="0" applyNumberFormat="1" applyFont="1" applyFill="1" applyBorder="1" applyAlignment="1">
      <alignment horizontal="left" vertical="center"/>
    </xf>
    <xf numFmtId="0" fontId="0" fillId="12" borderId="17" xfId="0" applyFill="1" applyBorder="1">
      <alignment vertical="center"/>
    </xf>
    <xf numFmtId="177" fontId="1" fillId="13" borderId="29" xfId="0" applyNumberFormat="1" applyFont="1" applyFill="1" applyBorder="1" applyAlignment="1">
      <alignment horizontal="left" vertical="center"/>
    </xf>
    <xf numFmtId="181" fontId="1" fillId="12" borderId="25" xfId="0" applyNumberFormat="1" applyFont="1" applyFill="1" applyBorder="1" applyAlignment="1">
      <alignment horizontal="left" vertical="center"/>
    </xf>
    <xf numFmtId="176" fontId="1" fillId="12" borderId="29" xfId="0" applyNumberFormat="1" applyFont="1" applyFill="1" applyBorder="1" applyAlignment="1">
      <alignment horizontal="left" vertical="center"/>
    </xf>
    <xf numFmtId="176" fontId="1" fillId="12" borderId="30" xfId="0" applyNumberFormat="1" applyFont="1" applyFill="1" applyBorder="1" applyAlignment="1">
      <alignment horizontal="left" vertical="center"/>
    </xf>
    <xf numFmtId="0" fontId="0" fillId="12" borderId="44" xfId="0" applyFill="1" applyBorder="1">
      <alignment vertical="center"/>
    </xf>
    <xf numFmtId="177" fontId="1" fillId="13" borderId="27" xfId="0" applyNumberFormat="1" applyFont="1" applyFill="1" applyBorder="1" applyAlignment="1">
      <alignment horizontal="left" vertical="center"/>
    </xf>
    <xf numFmtId="176" fontId="1" fillId="12" borderId="18" xfId="0" applyNumberFormat="1" applyFont="1" applyFill="1" applyBorder="1" applyAlignment="1">
      <alignment horizontal="left" vertical="center"/>
    </xf>
    <xf numFmtId="0" fontId="0" fillId="12" borderId="20" xfId="0" applyFill="1" applyBorder="1">
      <alignment vertical="center"/>
    </xf>
    <xf numFmtId="176" fontId="1" fillId="12" borderId="41" xfId="0" applyNumberFormat="1" applyFont="1" applyFill="1" applyBorder="1" applyAlignment="1">
      <alignment horizontal="left" vertical="center"/>
    </xf>
    <xf numFmtId="0" fontId="0" fillId="12" borderId="45" xfId="0" applyFill="1" applyBorder="1">
      <alignment vertical="center"/>
    </xf>
    <xf numFmtId="177" fontId="1" fillId="13" borderId="34" xfId="0" applyNumberFormat="1" applyFont="1" applyFill="1" applyBorder="1" applyAlignment="1">
      <alignment horizontal="left" vertical="center"/>
    </xf>
    <xf numFmtId="177" fontId="1" fillId="13" borderId="51" xfId="0" applyNumberFormat="1" applyFont="1" applyFill="1" applyBorder="1" applyAlignment="1">
      <alignment horizontal="left" vertical="center"/>
    </xf>
    <xf numFmtId="181" fontId="1" fillId="12" borderId="51" xfId="0" applyNumberFormat="1" applyFont="1" applyFill="1" applyBorder="1" applyAlignment="1">
      <alignment horizontal="left" vertical="center"/>
    </xf>
    <xf numFmtId="176" fontId="1" fillId="12" borderId="35" xfId="0" applyNumberFormat="1" applyFont="1" applyFill="1" applyBorder="1" applyAlignment="1">
      <alignment horizontal="left" vertical="center"/>
    </xf>
    <xf numFmtId="176" fontId="1" fillId="12" borderId="52" xfId="0" applyNumberFormat="1" applyFont="1" applyFill="1" applyBorder="1" applyAlignment="1">
      <alignment horizontal="left" vertical="center"/>
    </xf>
    <xf numFmtId="0" fontId="0" fillId="12" borderId="53" xfId="0" applyFill="1" applyBorder="1">
      <alignment vertical="center"/>
    </xf>
    <xf numFmtId="22" fontId="0" fillId="0" borderId="0" xfId="0" applyNumberFormat="1" applyAlignment="1">
      <alignment horizontal="center" vertical="center"/>
    </xf>
    <xf numFmtId="178" fontId="0" fillId="0" borderId="0" xfId="0" applyNumberFormat="1" applyAlignment="1">
      <alignment horizontal="center" vertical="center"/>
    </xf>
    <xf numFmtId="0" fontId="0" fillId="13" borderId="0" xfId="0" applyFill="1">
      <alignment vertical="center"/>
    </xf>
    <xf numFmtId="0" fontId="0" fillId="13" borderId="36" xfId="0" applyFill="1" applyBorder="1" applyAlignment="1">
      <alignment horizontal="center" vertical="center"/>
    </xf>
    <xf numFmtId="0" fontId="0" fillId="13" borderId="38" xfId="0" applyFill="1" applyBorder="1" applyAlignment="1">
      <alignment horizontal="center" vertical="center"/>
    </xf>
    <xf numFmtId="0" fontId="0" fillId="13" borderId="4" xfId="0" applyFill="1" applyBorder="1" applyAlignment="1">
      <alignment horizontal="center" vertical="center"/>
    </xf>
    <xf numFmtId="0" fontId="0" fillId="13" borderId="0" xfId="0" applyFill="1" applyAlignment="1">
      <alignment horizontal="left" vertical="center"/>
    </xf>
    <xf numFmtId="0" fontId="0" fillId="13" borderId="46" xfId="0" applyFill="1" applyBorder="1" applyAlignment="1">
      <alignment horizontal="left" vertical="center" indent="1"/>
    </xf>
    <xf numFmtId="0" fontId="0" fillId="13" borderId="66" xfId="0" applyFill="1" applyBorder="1" applyAlignment="1">
      <alignment horizontal="left" vertical="center" indent="1"/>
    </xf>
    <xf numFmtId="0" fontId="0" fillId="13" borderId="5" xfId="0" applyFill="1" applyBorder="1">
      <alignment vertical="center"/>
    </xf>
    <xf numFmtId="0" fontId="0" fillId="13" borderId="67" xfId="0" applyFill="1" applyBorder="1" applyAlignment="1">
      <alignment horizontal="center" vertical="center"/>
    </xf>
    <xf numFmtId="183" fontId="0" fillId="13" borderId="62" xfId="0" applyNumberFormat="1" applyFill="1" applyBorder="1" applyAlignment="1">
      <alignment horizontal="center" vertical="center"/>
    </xf>
    <xf numFmtId="0" fontId="0" fillId="13" borderId="47" xfId="0" applyFill="1" applyBorder="1" applyAlignment="1">
      <alignment horizontal="left" vertical="center" indent="1"/>
    </xf>
    <xf numFmtId="0" fontId="0" fillId="13" borderId="68" xfId="0" applyFill="1" applyBorder="1" applyAlignment="1">
      <alignment horizontal="left" vertical="center" indent="1"/>
    </xf>
    <xf numFmtId="0" fontId="0" fillId="13" borderId="6" xfId="0" applyFill="1" applyBorder="1">
      <alignment vertical="center"/>
    </xf>
    <xf numFmtId="0" fontId="0" fillId="13" borderId="1" xfId="0" applyFill="1" applyBorder="1" applyAlignment="1">
      <alignment horizontal="center" vertical="center"/>
    </xf>
    <xf numFmtId="0" fontId="0" fillId="13" borderId="69" xfId="0" applyFill="1" applyBorder="1" applyAlignment="1">
      <alignment horizontal="center" vertical="center"/>
    </xf>
    <xf numFmtId="184" fontId="0" fillId="13" borderId="35" xfId="0" applyNumberFormat="1" applyFill="1" applyBorder="1" applyAlignment="1">
      <alignment horizontal="center" vertical="center"/>
    </xf>
    <xf numFmtId="0" fontId="0" fillId="13" borderId="51" xfId="0" applyFill="1" applyBorder="1" applyAlignment="1">
      <alignment horizontal="center" vertical="center"/>
    </xf>
    <xf numFmtId="183" fontId="0" fillId="13" borderId="35" xfId="0" applyNumberFormat="1" applyFill="1" applyBorder="1" applyAlignment="1">
      <alignment horizontal="center" vertical="center"/>
    </xf>
    <xf numFmtId="0" fontId="0" fillId="13" borderId="52" xfId="0" applyFill="1" applyBorder="1" applyAlignment="1">
      <alignment horizontal="center" vertical="center"/>
    </xf>
    <xf numFmtId="0" fontId="0" fillId="13" borderId="70" xfId="0" applyFill="1" applyBorder="1" applyAlignment="1">
      <alignment horizontal="center" vertical="center"/>
    </xf>
    <xf numFmtId="0" fontId="0" fillId="13" borderId="48" xfId="0" applyFill="1" applyBorder="1" applyAlignment="1">
      <alignment horizontal="left" vertical="center" indent="1"/>
    </xf>
    <xf numFmtId="0" fontId="0" fillId="13" borderId="71" xfId="0" applyFill="1" applyBorder="1" applyAlignment="1">
      <alignment horizontal="left" vertical="center" indent="1"/>
    </xf>
    <xf numFmtId="0" fontId="0" fillId="13" borderId="8" xfId="0" applyFill="1" applyBorder="1">
      <alignment vertical="center"/>
    </xf>
    <xf numFmtId="0" fontId="0" fillId="13" borderId="0" xfId="0" applyFill="1" applyAlignment="1">
      <alignment horizontal="center" vertical="center"/>
    </xf>
    <xf numFmtId="0" fontId="0" fillId="13" borderId="32" xfId="0" applyFill="1" applyBorder="1" applyAlignment="1">
      <alignment horizontal="center" vertical="center"/>
    </xf>
    <xf numFmtId="0" fontId="0" fillId="13" borderId="33" xfId="0" applyFill="1" applyBorder="1" applyAlignment="1">
      <alignment horizontal="center" vertical="center"/>
    </xf>
    <xf numFmtId="176" fontId="0" fillId="13" borderId="72" xfId="0" applyNumberFormat="1" applyFill="1" applyBorder="1">
      <alignment vertical="center"/>
    </xf>
    <xf numFmtId="0" fontId="0" fillId="14" borderId="0" xfId="0" applyFill="1">
      <alignment vertical="center"/>
    </xf>
    <xf numFmtId="0" fontId="0" fillId="0" borderId="1" xfId="0" applyBorder="1" applyAlignment="1">
      <alignment horizontal="center" vertical="center"/>
    </xf>
    <xf numFmtId="0" fontId="0" fillId="0" borderId="51" xfId="0" applyBorder="1" applyAlignment="1">
      <alignment horizontal="center" vertical="center"/>
    </xf>
    <xf numFmtId="183" fontId="0" fillId="13" borderId="37" xfId="0" applyNumberFormat="1" applyFill="1" applyBorder="1" applyAlignment="1">
      <alignment horizontal="center" vertical="center"/>
    </xf>
    <xf numFmtId="184" fontId="0" fillId="13" borderId="2" xfId="0" applyNumberFormat="1" applyFill="1" applyBorder="1" applyAlignment="1">
      <alignment horizontal="center" vertical="center"/>
    </xf>
    <xf numFmtId="0" fontId="0" fillId="13" borderId="73" xfId="0" applyFill="1" applyBorder="1" applyAlignment="1">
      <alignment horizontal="center" vertical="center"/>
    </xf>
    <xf numFmtId="0" fontId="0" fillId="13" borderId="74" xfId="0" applyFill="1" applyBorder="1" applyAlignment="1">
      <alignment horizontal="center" vertical="center"/>
    </xf>
    <xf numFmtId="183" fontId="0" fillId="13" borderId="2" xfId="0" applyNumberFormat="1" applyFill="1" applyBorder="1" applyAlignment="1">
      <alignment horizontal="center" vertical="center"/>
    </xf>
    <xf numFmtId="0" fontId="0" fillId="13" borderId="24" xfId="0" applyFill="1" applyBorder="1" applyAlignment="1">
      <alignment horizontal="center" vertical="center"/>
    </xf>
    <xf numFmtId="0" fontId="0" fillId="13" borderId="26" xfId="0" applyFill="1" applyBorder="1" applyAlignment="1">
      <alignment horizontal="center" vertical="center"/>
    </xf>
    <xf numFmtId="0" fontId="0" fillId="13" borderId="53" xfId="0" applyFill="1" applyBorder="1" applyAlignment="1">
      <alignment horizontal="center" vertical="center"/>
    </xf>
    <xf numFmtId="0" fontId="0" fillId="0" borderId="2" xfId="0" applyBorder="1" applyAlignment="1">
      <alignment horizontal="center" vertical="center"/>
    </xf>
    <xf numFmtId="176" fontId="0" fillId="0" borderId="0" xfId="0" applyNumberFormat="1">
      <alignment vertical="center"/>
    </xf>
    <xf numFmtId="0" fontId="3" fillId="13" borderId="32" xfId="0" applyFont="1" applyFill="1" applyBorder="1" applyAlignment="1">
      <alignment horizontal="center" vertical="center"/>
    </xf>
    <xf numFmtId="0" fontId="3" fillId="13" borderId="33" xfId="0" applyFont="1" applyFill="1" applyBorder="1" applyAlignment="1">
      <alignment horizontal="center" vertical="center"/>
    </xf>
    <xf numFmtId="0" fontId="3" fillId="13" borderId="35" xfId="0" applyFont="1" applyFill="1" applyBorder="1" applyAlignment="1">
      <alignment horizontal="center" vertical="center"/>
    </xf>
    <xf numFmtId="0" fontId="3" fillId="13" borderId="72" xfId="0" applyFont="1" applyFill="1" applyBorder="1" applyAlignment="1">
      <alignment horizontal="center" vertical="center"/>
    </xf>
    <xf numFmtId="0" fontId="3" fillId="13" borderId="41" xfId="0" applyFont="1" applyFill="1" applyBorder="1">
      <alignment vertical="center"/>
    </xf>
    <xf numFmtId="0" fontId="3" fillId="13" borderId="42" xfId="0" applyFont="1" applyFill="1" applyBorder="1" applyAlignment="1">
      <alignment horizontal="center" vertical="center"/>
    </xf>
    <xf numFmtId="0" fontId="3" fillId="13" borderId="43" xfId="0" applyFont="1" applyFill="1" applyBorder="1" applyAlignment="1">
      <alignment horizontal="center" vertical="center"/>
    </xf>
    <xf numFmtId="185" fontId="3" fillId="13" borderId="45" xfId="0" applyNumberFormat="1" applyFont="1" applyFill="1" applyBorder="1" applyAlignment="1">
      <alignment horizontal="center" vertical="center"/>
    </xf>
    <xf numFmtId="0" fontId="3" fillId="13" borderId="16" xfId="0" applyFont="1" applyFill="1" applyBorder="1">
      <alignment vertical="center"/>
    </xf>
    <xf numFmtId="0" fontId="3" fillId="13" borderId="15" xfId="0" applyFont="1" applyFill="1" applyBorder="1" applyAlignment="1">
      <alignment horizontal="center" vertical="center"/>
    </xf>
    <xf numFmtId="0" fontId="3" fillId="13" borderId="28" xfId="0" applyFont="1" applyFill="1" applyBorder="1" applyAlignment="1">
      <alignment horizontal="center" vertical="center"/>
    </xf>
    <xf numFmtId="185" fontId="3" fillId="13" borderId="17" xfId="0" applyNumberFormat="1" applyFont="1" applyFill="1" applyBorder="1" applyAlignment="1">
      <alignment horizontal="center" vertical="center"/>
    </xf>
    <xf numFmtId="0" fontId="3" fillId="13" borderId="18" xfId="0" applyFont="1" applyFill="1" applyBorder="1">
      <alignment vertical="center"/>
    </xf>
    <xf numFmtId="0" fontId="3" fillId="13" borderId="19" xfId="0" applyFont="1" applyFill="1" applyBorder="1" applyAlignment="1">
      <alignment horizontal="center" vertical="center"/>
    </xf>
    <xf numFmtId="0" fontId="3" fillId="13" borderId="29" xfId="0" applyFont="1" applyFill="1" applyBorder="1" applyAlignment="1">
      <alignment horizontal="center" vertical="center"/>
    </xf>
    <xf numFmtId="185" fontId="3" fillId="13" borderId="20" xfId="0" applyNumberFormat="1" applyFont="1" applyFill="1" applyBorder="1" applyAlignment="1">
      <alignment horizontal="center" vertical="center"/>
    </xf>
    <xf numFmtId="0" fontId="3" fillId="13" borderId="1" xfId="0" applyFont="1" applyFill="1" applyBorder="1" applyAlignment="1">
      <alignment horizontal="center" vertical="center"/>
    </xf>
    <xf numFmtId="0" fontId="3" fillId="13" borderId="51" xfId="0" applyFont="1" applyFill="1" applyBorder="1" applyAlignment="1">
      <alignment horizontal="center" vertical="center"/>
    </xf>
    <xf numFmtId="185" fontId="3" fillId="13" borderId="2" xfId="0" applyNumberFormat="1" applyFont="1" applyFill="1" applyBorder="1" applyAlignment="1">
      <alignment horizontal="center" vertical="center"/>
    </xf>
    <xf numFmtId="0" fontId="0" fillId="13" borderId="0" xfId="0" applyFill="1" applyAlignment="1">
      <alignment horizontal="left" vertical="center" wrapText="1"/>
    </xf>
    <xf numFmtId="0" fontId="0" fillId="15" borderId="0" xfId="0" applyFill="1">
      <alignment vertical="center"/>
    </xf>
    <xf numFmtId="0" fontId="0" fillId="13" borderId="4" xfId="0" applyFill="1" applyBorder="1">
      <alignment vertical="center"/>
    </xf>
    <xf numFmtId="0" fontId="0" fillId="13" borderId="37" xfId="0" applyFill="1" applyBorder="1" applyAlignment="1">
      <alignment horizontal="center" vertical="center"/>
    </xf>
    <xf numFmtId="0" fontId="0" fillId="13" borderId="36" xfId="0" applyFill="1" applyBorder="1">
      <alignment vertical="center"/>
    </xf>
    <xf numFmtId="0" fontId="0" fillId="13" borderId="5" xfId="0" applyFill="1" applyBorder="1" applyAlignment="1">
      <alignment horizontal="center" vertical="center"/>
    </xf>
    <xf numFmtId="0" fontId="0" fillId="13" borderId="66" xfId="0" applyFill="1" applyBorder="1" applyAlignment="1">
      <alignment horizontal="center" vertical="center"/>
    </xf>
    <xf numFmtId="0" fontId="0" fillId="13" borderId="6" xfId="0" applyFill="1" applyBorder="1" applyAlignment="1">
      <alignment horizontal="center" vertical="center"/>
    </xf>
    <xf numFmtId="0" fontId="0" fillId="13" borderId="68" xfId="0" applyFill="1" applyBorder="1" applyAlignment="1">
      <alignment horizontal="center" vertical="center"/>
    </xf>
    <xf numFmtId="0" fontId="5" fillId="13" borderId="36" xfId="0" applyFont="1" applyFill="1" applyBorder="1" applyAlignment="1">
      <alignment horizontal="center" vertical="center"/>
    </xf>
    <xf numFmtId="0" fontId="5" fillId="13" borderId="37"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0" xfId="0" applyFont="1" applyFill="1" applyBorder="1" applyAlignment="1">
      <alignment horizontal="center" vertical="center"/>
    </xf>
    <xf numFmtId="22" fontId="6" fillId="13" borderId="36" xfId="0" applyNumberFormat="1" applyFont="1" applyFill="1" applyBorder="1" applyAlignment="1">
      <alignment horizontal="center" vertical="center"/>
    </xf>
    <xf numFmtId="22" fontId="6" fillId="13" borderId="37" xfId="0" applyNumberFormat="1" applyFont="1" applyFill="1" applyBorder="1" applyAlignment="1">
      <alignment horizontal="center" vertical="center"/>
    </xf>
    <xf numFmtId="22" fontId="6" fillId="13" borderId="22" xfId="0" applyNumberFormat="1" applyFont="1" applyFill="1" applyBorder="1" applyAlignment="1">
      <alignment horizontal="center" vertical="center"/>
    </xf>
    <xf numFmtId="22" fontId="6" fillId="13" borderId="0" xfId="0" applyNumberFormat="1" applyFont="1" applyFill="1" applyAlignment="1">
      <alignment horizontal="center" vertical="center"/>
    </xf>
    <xf numFmtId="0" fontId="1" fillId="13" borderId="6" xfId="0" applyFont="1" applyFill="1" applyBorder="1" applyAlignment="1">
      <alignment horizontal="right" vertical="center"/>
    </xf>
    <xf numFmtId="22" fontId="6" fillId="13" borderId="24" xfId="0" applyNumberFormat="1" applyFont="1" applyFill="1" applyBorder="1" applyAlignment="1">
      <alignment horizontal="center" vertical="center"/>
    </xf>
    <xf numFmtId="22" fontId="6" fillId="13" borderId="25" xfId="0" applyNumberFormat="1" applyFont="1" applyFill="1" applyBorder="1" applyAlignment="1">
      <alignment horizontal="center" vertical="center"/>
    </xf>
    <xf numFmtId="0" fontId="0" fillId="13" borderId="1" xfId="0" applyFill="1" applyBorder="1">
      <alignment vertical="center"/>
    </xf>
    <xf numFmtId="0" fontId="0" fillId="13" borderId="3" xfId="0" applyFill="1" applyBorder="1" applyAlignment="1">
      <alignment horizontal="center" vertical="center"/>
    </xf>
    <xf numFmtId="0" fontId="1" fillId="13" borderId="1" xfId="0" applyFont="1" applyFill="1" applyBorder="1" applyAlignment="1">
      <alignment horizontal="left" vertical="center"/>
    </xf>
    <xf numFmtId="186" fontId="1" fillId="13" borderId="3" xfId="0" applyNumberFormat="1" applyFont="1" applyFill="1" applyBorder="1" applyAlignment="1">
      <alignment horizontal="center" vertical="center"/>
    </xf>
    <xf numFmtId="0" fontId="0" fillId="13" borderId="8" xfId="0" applyFill="1" applyBorder="1" applyAlignment="1">
      <alignment horizontal="center" vertical="center"/>
    </xf>
    <xf numFmtId="0" fontId="0" fillId="13" borderId="71" xfId="0" applyFill="1" applyBorder="1">
      <alignment vertical="center"/>
    </xf>
    <xf numFmtId="0" fontId="5" fillId="13" borderId="22"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23" xfId="0" applyFont="1" applyFill="1" applyBorder="1" applyAlignment="1">
      <alignment horizontal="center" vertical="center" wrapText="1"/>
    </xf>
    <xf numFmtId="0" fontId="7" fillId="13" borderId="22" xfId="0" applyFont="1" applyFill="1" applyBorder="1" applyAlignment="1">
      <alignment horizontal="center" vertical="center"/>
    </xf>
    <xf numFmtId="0" fontId="7" fillId="13" borderId="23" xfId="0" applyFont="1" applyFill="1" applyBorder="1" applyAlignment="1">
      <alignment horizontal="center" vertical="center"/>
    </xf>
    <xf numFmtId="0" fontId="7" fillId="13" borderId="24" xfId="0" applyFont="1" applyFill="1" applyBorder="1" applyAlignment="1">
      <alignment horizontal="center" vertical="center"/>
    </xf>
    <xf numFmtId="0" fontId="7" fillId="13" borderId="26" xfId="0" applyFont="1" applyFill="1" applyBorder="1" applyAlignment="1">
      <alignment horizontal="center" vertical="center"/>
    </xf>
    <xf numFmtId="0" fontId="8" fillId="13" borderId="36" xfId="10" applyFont="1" applyFill="1" applyBorder="1" applyAlignment="1">
      <alignment horizontal="center" vertical="center"/>
    </xf>
    <xf numFmtId="0" fontId="8" fillId="13" borderId="38" xfId="10" applyFont="1" applyFill="1" applyBorder="1" applyAlignment="1">
      <alignment horizontal="center" vertical="center"/>
    </xf>
    <xf numFmtId="0" fontId="8" fillId="13" borderId="22" xfId="10" applyFont="1" applyFill="1" applyBorder="1" applyAlignment="1">
      <alignment horizontal="center" vertical="center"/>
    </xf>
    <xf numFmtId="0" fontId="8" fillId="13" borderId="23" xfId="10" applyFont="1" applyFill="1" applyBorder="1" applyAlignment="1">
      <alignment horizontal="center" vertical="center"/>
    </xf>
    <xf numFmtId="0" fontId="5" fillId="13" borderId="24"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8" fillId="13" borderId="24" xfId="10" applyFont="1" applyFill="1" applyBorder="1" applyAlignment="1">
      <alignment horizontal="center" vertical="center"/>
    </xf>
    <xf numFmtId="0" fontId="8" fillId="13" borderId="26" xfId="10" applyFont="1" applyFill="1" applyBorder="1" applyAlignment="1">
      <alignment horizontal="center" vertical="center"/>
    </xf>
    <xf numFmtId="0" fontId="7" fillId="13" borderId="0" xfId="0" applyFont="1" applyFill="1">
      <alignment vertical="center"/>
    </xf>
    <xf numFmtId="0" fontId="1" fillId="13" borderId="0" xfId="0" applyFont="1" applyFill="1" applyBorder="1" applyAlignment="1">
      <alignment vertical="center"/>
    </xf>
    <xf numFmtId="0" fontId="9" fillId="16" borderId="1" xfId="10" applyFont="1" applyFill="1" applyBorder="1" applyAlignment="1">
      <alignment horizontal="centerContinuous" vertical="center"/>
    </xf>
    <xf numFmtId="0" fontId="9" fillId="16" borderId="2" xfId="10" applyFont="1" applyFill="1" applyBorder="1" applyAlignment="1">
      <alignment horizontal="centerContinuous" vertical="center"/>
    </xf>
    <xf numFmtId="0" fontId="9" fillId="16" borderId="24" xfId="10" applyFont="1" applyFill="1" applyBorder="1" applyAlignment="1">
      <alignment horizontal="centerContinuous" vertical="center"/>
    </xf>
    <xf numFmtId="0" fontId="9" fillId="16" borderId="26" xfId="10" applyFont="1" applyFill="1" applyBorder="1" applyAlignment="1">
      <alignment horizontal="centerContinuous" vertical="center"/>
    </xf>
    <xf numFmtId="0" fontId="1" fillId="0" borderId="0" xfId="0" applyFont="1" applyFill="1" applyBorder="1" applyAlignment="1">
      <alignment vertical="center"/>
    </xf>
    <xf numFmtId="0" fontId="10" fillId="17" borderId="36" xfId="0" applyFont="1" applyFill="1" applyBorder="1" applyAlignment="1">
      <alignment horizontal="centerContinuous" vertical="center"/>
    </xf>
    <xf numFmtId="0" fontId="1" fillId="17" borderId="37" xfId="0" applyFont="1" applyFill="1" applyBorder="1" applyAlignment="1">
      <alignment horizontal="centerContinuous" vertical="center"/>
    </xf>
    <xf numFmtId="0" fontId="1" fillId="17" borderId="24" xfId="0" applyFont="1" applyFill="1" applyBorder="1" applyAlignment="1">
      <alignment horizontal="centerContinuous" vertical="center"/>
    </xf>
    <xf numFmtId="0" fontId="1" fillId="17" borderId="25" xfId="0" applyFont="1" applyFill="1" applyBorder="1" applyAlignment="1">
      <alignment horizontal="centerContinuous" vertical="center"/>
    </xf>
    <xf numFmtId="0" fontId="1" fillId="13" borderId="0" xfId="0" applyFont="1" applyFill="1" applyAlignment="1">
      <alignment vertical="center"/>
    </xf>
    <xf numFmtId="0" fontId="1" fillId="13" borderId="0" xfId="0" applyFont="1" applyFill="1" applyAlignment="1">
      <alignment horizontal="centerContinuous" vertical="center"/>
    </xf>
    <xf numFmtId="0" fontId="11" fillId="13" borderId="0" xfId="0" applyFont="1" applyFill="1" applyAlignment="1">
      <alignment vertical="center"/>
    </xf>
    <xf numFmtId="0" fontId="11" fillId="13" borderId="0" xfId="0" applyFont="1" applyFill="1" applyAlignment="1">
      <alignment horizontal="centerContinuous"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76" fontId="1" fillId="18"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6" fontId="1" fillId="2" borderId="3" xfId="0" applyNumberFormat="1" applyFont="1" applyFill="1" applyBorder="1" applyAlignment="1">
      <alignment vertical="center"/>
    </xf>
    <xf numFmtId="0" fontId="12" fillId="16" borderId="1" xfId="0" applyFont="1" applyFill="1" applyBorder="1" applyAlignment="1">
      <alignment horizontal="center" vertical="center"/>
    </xf>
    <xf numFmtId="0" fontId="12" fillId="16" borderId="2" xfId="0" applyFont="1" applyFill="1" applyBorder="1" applyAlignment="1">
      <alignment horizontal="center" vertical="center"/>
    </xf>
    <xf numFmtId="0" fontId="0" fillId="16" borderId="1" xfId="0" applyFill="1" applyBorder="1" applyAlignment="1">
      <alignment horizontal="centerContinuous" vertical="center"/>
    </xf>
    <xf numFmtId="0" fontId="0" fillId="16" borderId="2" xfId="0" applyFill="1" applyBorder="1" applyAlignment="1">
      <alignment horizontal="centerContinuous" vertical="center"/>
    </xf>
    <xf numFmtId="176" fontId="1" fillId="16" borderId="3" xfId="0" applyNumberFormat="1" applyFont="1" applyFill="1" applyBorder="1" applyAlignment="1">
      <alignment vertical="center"/>
    </xf>
    <xf numFmtId="0" fontId="1" fillId="16" borderId="1" xfId="0" applyFont="1" applyFill="1" applyBorder="1" applyAlignment="1">
      <alignment vertical="center"/>
    </xf>
    <xf numFmtId="0" fontId="0" fillId="2" borderId="1" xfId="0" applyFill="1" applyBorder="1" applyAlignment="1">
      <alignment horizontal="center" vertical="center"/>
    </xf>
    <xf numFmtId="0" fontId="0" fillId="2" borderId="51" xfId="0" applyFill="1" applyBorder="1" applyAlignment="1">
      <alignment horizontal="center" vertical="center"/>
    </xf>
    <xf numFmtId="0" fontId="1" fillId="13" borderId="3" xfId="0" applyFont="1" applyFill="1" applyBorder="1" applyAlignment="1">
      <alignment horizontal="left" vertical="center"/>
    </xf>
    <xf numFmtId="181" fontId="1" fillId="13"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5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51" xfId="0" applyFont="1" applyFill="1" applyBorder="1" applyAlignment="1">
      <alignment horizontal="left" vertical="center"/>
    </xf>
    <xf numFmtId="0" fontId="1" fillId="19" borderId="1" xfId="0" applyFont="1" applyFill="1" applyBorder="1" applyAlignment="1">
      <alignment horizontal="center" vertical="center"/>
    </xf>
    <xf numFmtId="0" fontId="1" fillId="19" borderId="51" xfId="0" applyFont="1" applyFill="1" applyBorder="1" applyAlignment="1">
      <alignment horizontal="center" vertical="center"/>
    </xf>
    <xf numFmtId="0" fontId="1" fillId="19" borderId="1" xfId="0" applyFont="1" applyFill="1" applyBorder="1" applyAlignment="1">
      <alignment horizontal="left" vertical="center"/>
    </xf>
    <xf numFmtId="0" fontId="1" fillId="19" borderId="51"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36" xfId="0" applyFont="1" applyFill="1" applyBorder="1" applyAlignment="1">
      <alignment horizontal="left" vertical="center"/>
    </xf>
    <xf numFmtId="0" fontId="1" fillId="4" borderId="37" xfId="0" applyFont="1" applyFill="1" applyBorder="1" applyAlignment="1">
      <alignment horizontal="left" vertical="center"/>
    </xf>
    <xf numFmtId="0" fontId="0" fillId="7" borderId="1" xfId="0" applyFill="1" applyBorder="1" applyAlignment="1">
      <alignment horizontal="right" vertical="center"/>
    </xf>
    <xf numFmtId="0" fontId="0" fillId="7" borderId="51" xfId="0" applyFill="1" applyBorder="1" applyAlignment="1">
      <alignment horizontal="right" vertical="center"/>
    </xf>
    <xf numFmtId="0" fontId="3"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2" xfId="0" applyFont="1" applyFill="1" applyBorder="1" applyAlignment="1">
      <alignment horizontal="center" vertical="center"/>
    </xf>
    <xf numFmtId="0" fontId="1" fillId="6" borderId="1" xfId="0" applyFont="1" applyFill="1" applyBorder="1" applyAlignment="1">
      <alignment horizontal="right" vertical="center"/>
    </xf>
    <xf numFmtId="0" fontId="1" fillId="6" borderId="51" xfId="0" applyFont="1" applyFill="1" applyBorder="1" applyAlignment="1">
      <alignment horizontal="right" vertical="center"/>
    </xf>
    <xf numFmtId="0" fontId="1" fillId="6" borderId="37" xfId="0" applyFont="1" applyFill="1" applyBorder="1" applyAlignment="1">
      <alignment vertical="center"/>
    </xf>
    <xf numFmtId="0" fontId="1" fillId="6" borderId="36" xfId="0" applyFont="1" applyFill="1" applyBorder="1" applyAlignment="1">
      <alignment horizontal="center" vertical="center"/>
    </xf>
    <xf numFmtId="0" fontId="1" fillId="6" borderId="38" xfId="0" applyFont="1" applyFill="1" applyBorder="1" applyAlignment="1">
      <alignment horizontal="right" vertical="center"/>
    </xf>
    <xf numFmtId="0" fontId="1" fillId="0" borderId="38" xfId="0" applyFont="1" applyFill="1" applyBorder="1" applyAlignment="1">
      <alignment horizontal="left" vertical="center"/>
    </xf>
    <xf numFmtId="0" fontId="13" fillId="20" borderId="4" xfId="0" applyFont="1" applyFill="1" applyBorder="1" applyAlignment="1">
      <alignment vertical="center" wrapText="1"/>
    </xf>
    <xf numFmtId="0" fontId="0" fillId="13" borderId="32" xfId="0" applyFill="1" applyBorder="1">
      <alignment vertical="center"/>
    </xf>
    <xf numFmtId="0" fontId="0" fillId="13" borderId="72" xfId="0" applyFill="1" applyBorder="1">
      <alignment vertical="center"/>
    </xf>
    <xf numFmtId="0" fontId="13" fillId="20" borderId="50" xfId="0" applyFont="1" applyFill="1" applyBorder="1">
      <alignment vertical="center"/>
    </xf>
    <xf numFmtId="0" fontId="0" fillId="13" borderId="41" xfId="0" applyFill="1" applyBorder="1">
      <alignment vertical="center"/>
    </xf>
    <xf numFmtId="0" fontId="0" fillId="13" borderId="42" xfId="0" applyFill="1" applyBorder="1" applyAlignment="1">
      <alignment horizontal="center" vertical="center"/>
    </xf>
    <xf numFmtId="0" fontId="0" fillId="13" borderId="45" xfId="0" applyFill="1" applyBorder="1">
      <alignment vertical="center"/>
    </xf>
    <xf numFmtId="0" fontId="0" fillId="13" borderId="16" xfId="0" applyFill="1" applyBorder="1">
      <alignment vertical="center"/>
    </xf>
    <xf numFmtId="0" fontId="0" fillId="13" borderId="15" xfId="0" applyFill="1" applyBorder="1" applyAlignment="1">
      <alignment horizontal="center" vertical="center"/>
    </xf>
    <xf numFmtId="0" fontId="0" fillId="13" borderId="17" xfId="0" applyFill="1" applyBorder="1">
      <alignment vertical="center"/>
    </xf>
    <xf numFmtId="0" fontId="13" fillId="20" borderId="7" xfId="0" applyFont="1" applyFill="1" applyBorder="1">
      <alignment vertical="center"/>
    </xf>
    <xf numFmtId="0" fontId="0" fillId="13" borderId="18" xfId="0" applyFill="1" applyBorder="1">
      <alignment vertical="center"/>
    </xf>
    <xf numFmtId="0" fontId="0" fillId="13" borderId="19" xfId="0" applyFill="1" applyBorder="1" applyAlignment="1">
      <alignment horizontal="center" vertical="center"/>
    </xf>
    <xf numFmtId="0" fontId="0" fillId="13" borderId="20" xfId="0" applyFill="1" applyBorder="1">
      <alignment vertical="center"/>
    </xf>
    <xf numFmtId="0" fontId="1" fillId="13" borderId="11" xfId="0" applyFont="1" applyFill="1" applyBorder="1" applyAlignment="1">
      <alignment vertical="center"/>
    </xf>
    <xf numFmtId="0" fontId="1" fillId="13" borderId="12" xfId="0" applyFont="1" applyFill="1" applyBorder="1" applyAlignment="1">
      <alignment vertical="center"/>
    </xf>
    <xf numFmtId="187" fontId="1" fillId="13" borderId="12" xfId="0" applyNumberFormat="1" applyFont="1" applyFill="1" applyBorder="1" applyAlignment="1">
      <alignment horizontal="left" vertical="center"/>
    </xf>
    <xf numFmtId="187" fontId="1" fillId="13" borderId="27" xfId="0" applyNumberFormat="1" applyFont="1" applyFill="1" applyBorder="1" applyAlignment="1">
      <alignment horizontal="left" vertical="center"/>
    </xf>
    <xf numFmtId="0" fontId="1" fillId="13" borderId="46" xfId="0" applyFont="1" applyFill="1" applyBorder="1" applyAlignment="1">
      <alignment vertical="center"/>
    </xf>
    <xf numFmtId="0" fontId="1" fillId="13" borderId="40" xfId="0" applyFont="1" applyFill="1" applyBorder="1" applyAlignment="1">
      <alignment vertical="center"/>
    </xf>
    <xf numFmtId="179" fontId="1" fillId="13" borderId="27" xfId="0" applyNumberFormat="1" applyFont="1" applyFill="1" applyBorder="1" applyAlignment="1">
      <alignment horizontal="left" vertical="center"/>
    </xf>
    <xf numFmtId="0" fontId="1" fillId="13" borderId="16" xfId="0" applyFont="1" applyFill="1" applyBorder="1" applyAlignment="1">
      <alignment vertical="center"/>
    </xf>
    <xf numFmtId="0" fontId="1" fillId="13" borderId="15" xfId="0" applyFont="1" applyFill="1" applyBorder="1" applyAlignment="1">
      <alignment vertical="center"/>
    </xf>
    <xf numFmtId="188" fontId="1" fillId="13" borderId="15" xfId="0" applyNumberFormat="1" applyFont="1" applyFill="1" applyBorder="1" applyAlignment="1">
      <alignment horizontal="left" vertical="center"/>
    </xf>
    <xf numFmtId="188" fontId="1" fillId="13" borderId="28" xfId="0" applyNumberFormat="1" applyFont="1" applyFill="1" applyBorder="1" applyAlignment="1">
      <alignment horizontal="left" vertical="center"/>
    </xf>
    <xf numFmtId="0" fontId="1" fillId="13" borderId="47" xfId="0" applyFont="1" applyFill="1" applyBorder="1" applyAlignment="1">
      <alignment vertical="center"/>
    </xf>
    <xf numFmtId="0" fontId="1" fillId="13" borderId="14" xfId="0" applyFont="1" applyFill="1" applyBorder="1" applyAlignment="1">
      <alignment vertical="center"/>
    </xf>
    <xf numFmtId="179" fontId="1" fillId="13" borderId="28" xfId="0" applyNumberFormat="1" applyFont="1" applyFill="1" applyBorder="1" applyAlignment="1">
      <alignment horizontal="left" vertical="center"/>
    </xf>
    <xf numFmtId="176" fontId="1" fillId="13" borderId="15" xfId="0" applyNumberFormat="1" applyFont="1" applyFill="1" applyBorder="1" applyAlignment="1">
      <alignment horizontal="left" vertical="center"/>
    </xf>
    <xf numFmtId="179" fontId="1" fillId="13" borderId="15" xfId="0" applyNumberFormat="1" applyFont="1" applyFill="1" applyBorder="1" applyAlignment="1">
      <alignment horizontal="left" vertical="center"/>
    </xf>
    <xf numFmtId="0" fontId="1" fillId="13" borderId="18" xfId="0" applyFont="1" applyFill="1" applyBorder="1" applyAlignment="1">
      <alignment vertical="center"/>
    </xf>
    <xf numFmtId="0" fontId="1" fillId="13" borderId="19" xfId="0" applyFont="1" applyFill="1" applyBorder="1" applyAlignment="1">
      <alignment vertical="center"/>
    </xf>
    <xf numFmtId="181" fontId="1" fillId="13" borderId="19" xfId="0" applyNumberFormat="1" applyFont="1" applyFill="1" applyBorder="1" applyAlignment="1">
      <alignment horizontal="left" vertical="center"/>
    </xf>
    <xf numFmtId="181" fontId="1" fillId="13" borderId="29" xfId="0" applyNumberFormat="1" applyFont="1" applyFill="1" applyBorder="1" applyAlignment="1">
      <alignment horizontal="left" vertical="center"/>
    </xf>
    <xf numFmtId="0" fontId="0" fillId="0" borderId="48" xfId="0" applyBorder="1" applyAlignment="1">
      <alignment horizontal="left" vertical="center"/>
    </xf>
    <xf numFmtId="0" fontId="0" fillId="0" borderId="21" xfId="0" applyBorder="1" applyAlignment="1">
      <alignment horizontal="left" vertical="center"/>
    </xf>
    <xf numFmtId="189" fontId="0" fillId="0" borderId="29" xfId="0" applyNumberFormat="1" applyBorder="1" applyAlignment="1">
      <alignment horizontal="left" vertical="center"/>
    </xf>
    <xf numFmtId="0" fontId="14" fillId="13" borderId="22" xfId="0" applyFont="1" applyFill="1" applyBorder="1" applyAlignment="1">
      <alignment horizontal="centerContinuous" vertical="center"/>
    </xf>
    <xf numFmtId="0" fontId="14" fillId="13" borderId="0" xfId="0" applyFont="1" applyFill="1" applyAlignment="1">
      <alignment horizontal="centerContinuous" vertical="center"/>
    </xf>
    <xf numFmtId="0" fontId="1" fillId="13" borderId="22" xfId="0" applyFont="1" applyFill="1" applyBorder="1" applyAlignment="1">
      <alignment vertical="center"/>
    </xf>
    <xf numFmtId="0" fontId="1" fillId="13" borderId="24" xfId="0" applyFont="1" applyFill="1" applyBorder="1" applyAlignment="1">
      <alignment vertical="center"/>
    </xf>
    <xf numFmtId="0" fontId="1" fillId="13" borderId="25" xfId="0" applyFont="1" applyFill="1" applyBorder="1" applyAlignment="1">
      <alignment vertical="center"/>
    </xf>
    <xf numFmtId="0" fontId="0" fillId="13" borderId="22" xfId="0" applyFill="1" applyBorder="1">
      <alignment vertical="center"/>
    </xf>
    <xf numFmtId="0" fontId="0" fillId="13" borderId="23" xfId="0" applyFill="1" applyBorder="1">
      <alignment vertical="center"/>
    </xf>
    <xf numFmtId="0" fontId="0" fillId="13" borderId="0" xfId="0" applyFill="1" applyBorder="1">
      <alignment vertical="center"/>
    </xf>
    <xf numFmtId="0" fontId="1" fillId="13" borderId="23" xfId="0" applyFont="1" applyFill="1" applyBorder="1" applyAlignment="1">
      <alignment vertical="center"/>
    </xf>
    <xf numFmtId="0" fontId="1" fillId="17" borderId="38" xfId="0" applyFont="1" applyFill="1" applyBorder="1" applyAlignment="1">
      <alignment horizontal="centerContinuous" vertical="center"/>
    </xf>
    <xf numFmtId="0" fontId="15" fillId="13" borderId="0" xfId="0" applyFont="1" applyFill="1" applyBorder="1" applyAlignment="1">
      <alignment horizontal="centerContinuous" vertical="center"/>
    </xf>
    <xf numFmtId="0" fontId="1" fillId="17" borderId="26" xfId="0" applyFont="1" applyFill="1" applyBorder="1" applyAlignment="1">
      <alignment horizontal="centerContinuous" vertical="center"/>
    </xf>
    <xf numFmtId="0" fontId="15" fillId="13" borderId="0" xfId="0" applyFont="1" applyFill="1" applyAlignment="1">
      <alignment horizontal="centerContinuous" vertical="center"/>
    </xf>
    <xf numFmtId="0" fontId="1" fillId="21" borderId="1" xfId="0" applyFont="1" applyFill="1" applyBorder="1" applyAlignment="1">
      <alignment horizontal="center" vertical="center"/>
    </xf>
    <xf numFmtId="0" fontId="1" fillId="21" borderId="2" xfId="0" applyFont="1" applyFill="1" applyBorder="1" applyAlignment="1">
      <alignment horizontal="center" vertical="center"/>
    </xf>
    <xf numFmtId="0" fontId="1" fillId="21" borderId="51" xfId="0" applyFont="1" applyFill="1" applyBorder="1" applyAlignment="1">
      <alignment horizontal="center" vertical="center"/>
    </xf>
    <xf numFmtId="0" fontId="1" fillId="16" borderId="51" xfId="0" applyFont="1" applyFill="1" applyBorder="1" applyAlignment="1">
      <alignment vertical="center"/>
    </xf>
    <xf numFmtId="0" fontId="12" fillId="2" borderId="51"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51" xfId="0" applyFill="1" applyBorder="1" applyAlignment="1">
      <alignment horizontal="center" vertical="center"/>
    </xf>
    <xf numFmtId="0" fontId="12" fillId="6" borderId="36" xfId="0" applyFont="1" applyFill="1" applyBorder="1" applyAlignment="1">
      <alignment horizontal="left" vertical="center"/>
    </xf>
    <xf numFmtId="0" fontId="12" fillId="6" borderId="0" xfId="0" applyFont="1" applyFill="1" applyBorder="1" applyAlignment="1">
      <alignment horizontal="left" vertical="center"/>
    </xf>
    <xf numFmtId="0" fontId="1" fillId="6" borderId="24" xfId="0" applyFont="1" applyFill="1" applyBorder="1" applyAlignment="1">
      <alignment horizontal="center" vertical="center"/>
    </xf>
    <xf numFmtId="0" fontId="1" fillId="6" borderId="26" xfId="0" applyFont="1" applyFill="1" applyBorder="1" applyAlignment="1">
      <alignment horizontal="center" vertical="center"/>
    </xf>
    <xf numFmtId="0" fontId="1" fillId="0" borderId="7" xfId="0" applyFont="1" applyFill="1" applyBorder="1" applyAlignment="1">
      <alignment horizontal="left" vertical="center"/>
    </xf>
    <xf numFmtId="0" fontId="12" fillId="6" borderId="24" xfId="0" applyFont="1" applyFill="1" applyBorder="1" applyAlignment="1">
      <alignment horizontal="left" vertical="center"/>
    </xf>
    <xf numFmtId="0" fontId="12" fillId="6" borderId="25" xfId="0" applyFont="1" applyFill="1" applyBorder="1" applyAlignment="1">
      <alignment horizontal="left" vertical="center"/>
    </xf>
    <xf numFmtId="0" fontId="13" fillId="16" borderId="4" xfId="0" applyFont="1" applyFill="1" applyBorder="1" applyAlignment="1">
      <alignment vertical="center" wrapText="1"/>
    </xf>
    <xf numFmtId="0" fontId="13" fillId="16" borderId="50" xfId="0" applyFont="1" applyFill="1" applyBorder="1">
      <alignment vertical="center"/>
    </xf>
    <xf numFmtId="0" fontId="13" fillId="16" borderId="7" xfId="0" applyFont="1" applyFill="1" applyBorder="1">
      <alignment vertical="center"/>
    </xf>
    <xf numFmtId="0" fontId="0" fillId="13" borderId="31" xfId="0" applyFill="1" applyBorder="1" applyAlignment="1">
      <alignment horizontal="center" vertical="center"/>
    </xf>
    <xf numFmtId="0" fontId="0" fillId="13" borderId="44" xfId="0" applyFill="1" applyBorder="1">
      <alignment vertical="center"/>
    </xf>
    <xf numFmtId="0" fontId="0" fillId="13" borderId="30" xfId="0" applyFill="1" applyBorder="1">
      <alignment vertical="center"/>
    </xf>
    <xf numFmtId="179" fontId="1" fillId="13" borderId="39" xfId="0" applyNumberFormat="1" applyFont="1" applyFill="1" applyBorder="1" applyAlignment="1">
      <alignment horizontal="left" vertical="center"/>
    </xf>
    <xf numFmtId="0" fontId="1" fillId="13" borderId="36" xfId="0" applyFont="1" applyFill="1" applyBorder="1" applyAlignment="1">
      <alignment horizontal="center" vertical="center"/>
    </xf>
    <xf numFmtId="0" fontId="1" fillId="13" borderId="37" xfId="0" applyFont="1" applyFill="1" applyBorder="1" applyAlignment="1">
      <alignment horizontal="center" vertical="center"/>
    </xf>
    <xf numFmtId="0" fontId="1" fillId="13" borderId="38" xfId="0" applyFont="1" applyFill="1" applyBorder="1" applyAlignment="1">
      <alignment horizontal="center" vertical="center"/>
    </xf>
    <xf numFmtId="10" fontId="1" fillId="13" borderId="13" xfId="0" applyNumberFormat="1" applyFont="1" applyFill="1" applyBorder="1" applyAlignment="1">
      <alignment vertical="center"/>
    </xf>
    <xf numFmtId="179" fontId="1" fillId="13" borderId="57" xfId="0" applyNumberFormat="1" applyFont="1" applyFill="1"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190" fontId="0" fillId="0" borderId="28" xfId="0" applyNumberFormat="1" applyBorder="1" applyAlignment="1">
      <alignment horizontal="center" vertical="center"/>
    </xf>
    <xf numFmtId="190" fontId="0" fillId="0" borderId="68" xfId="0" applyNumberFormat="1" applyBorder="1" applyAlignment="1">
      <alignment horizontal="center" vertical="center"/>
    </xf>
    <xf numFmtId="0" fontId="1" fillId="13" borderId="21" xfId="0" applyFont="1" applyFill="1" applyBorder="1" applyAlignment="1">
      <alignment vertical="center"/>
    </xf>
    <xf numFmtId="10" fontId="1" fillId="13" borderId="20" xfId="0" applyNumberFormat="1" applyFont="1" applyFill="1" applyBorder="1" applyAlignment="1">
      <alignment vertical="center"/>
    </xf>
    <xf numFmtId="0" fontId="1" fillId="13" borderId="40" xfId="0" applyFont="1" applyFill="1" applyBorder="1" applyAlignment="1">
      <alignment horizontal="center" vertical="center"/>
    </xf>
    <xf numFmtId="0" fontId="1" fillId="13" borderId="12" xfId="0" applyFont="1" applyFill="1" applyBorder="1" applyAlignment="1">
      <alignment horizontal="center" vertical="center"/>
    </xf>
    <xf numFmtId="189" fontId="0" fillId="0" borderId="59" xfId="0" applyNumberForma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190" fontId="0" fillId="0" borderId="29" xfId="0" applyNumberFormat="1" applyBorder="1" applyAlignment="1">
      <alignment horizontal="center" vertical="center"/>
    </xf>
    <xf numFmtId="190" fontId="0" fillId="0" borderId="71" xfId="0" applyNumberFormat="1" applyBorder="1" applyAlignment="1">
      <alignment horizontal="center" vertical="center"/>
    </xf>
    <xf numFmtId="0" fontId="1" fillId="13" borderId="21" xfId="0" applyFont="1" applyFill="1" applyBorder="1" applyAlignment="1">
      <alignment horizontal="center" vertical="center"/>
    </xf>
    <xf numFmtId="0" fontId="1" fillId="13" borderId="19" xfId="0" applyFont="1" applyFill="1" applyBorder="1" applyAlignment="1">
      <alignment horizontal="center" vertical="center"/>
    </xf>
    <xf numFmtId="0" fontId="14" fillId="13" borderId="0" xfId="0" applyFont="1" applyFill="1" applyBorder="1" applyAlignment="1">
      <alignment horizontal="centerContinuous" vertical="center"/>
    </xf>
    <xf numFmtId="0" fontId="14" fillId="13" borderId="37" xfId="0" applyFont="1" applyFill="1" applyBorder="1" applyAlignment="1">
      <alignment horizontal="centerContinuous" vertical="center"/>
    </xf>
    <xf numFmtId="0" fontId="14" fillId="13" borderId="38" xfId="0" applyFont="1" applyFill="1" applyBorder="1" applyAlignment="1">
      <alignment horizontal="centerContinuous" vertical="center"/>
    </xf>
    <xf numFmtId="0" fontId="1" fillId="13" borderId="26" xfId="0" applyFont="1" applyFill="1" applyBorder="1" applyAlignment="1">
      <alignment vertical="center"/>
    </xf>
    <xf numFmtId="0" fontId="5" fillId="13" borderId="38" xfId="0" applyFont="1" applyFill="1" applyBorder="1" applyAlignment="1">
      <alignment horizontal="center" vertical="center"/>
    </xf>
    <xf numFmtId="49" fontId="16" fillId="19" borderId="36" xfId="10" applyNumberFormat="1" applyFont="1" applyFill="1" applyBorder="1" applyAlignment="1">
      <alignment horizontal="center" vertical="center" wrapText="1"/>
    </xf>
    <xf numFmtId="49" fontId="16" fillId="19" borderId="37" xfId="10" applyNumberFormat="1" applyFont="1" applyFill="1" applyBorder="1" applyAlignment="1">
      <alignment horizontal="center" vertical="center"/>
    </xf>
    <xf numFmtId="49" fontId="16" fillId="19" borderId="38" xfId="10" applyNumberFormat="1" applyFont="1" applyFill="1" applyBorder="1" applyAlignment="1">
      <alignment horizontal="center" vertical="center"/>
    </xf>
    <xf numFmtId="49" fontId="16" fillId="19" borderId="24" xfId="10" applyNumberFormat="1" applyFont="1" applyFill="1" applyBorder="1" applyAlignment="1">
      <alignment horizontal="center" vertical="center"/>
    </xf>
    <xf numFmtId="49" fontId="16" fillId="19" borderId="25" xfId="10" applyNumberFormat="1" applyFont="1" applyFill="1" applyBorder="1" applyAlignment="1">
      <alignment horizontal="center" vertical="center"/>
    </xf>
    <xf numFmtId="49" fontId="16" fillId="19" borderId="26" xfId="10" applyNumberFormat="1" applyFont="1" applyFill="1" applyBorder="1" applyAlignment="1">
      <alignment horizontal="center" vertical="center"/>
    </xf>
    <xf numFmtId="0" fontId="17" fillId="13" borderId="36" xfId="10" applyFont="1" applyFill="1" applyBorder="1" applyAlignment="1">
      <alignment horizontal="center" vertical="center" wrapText="1"/>
    </xf>
    <xf numFmtId="0" fontId="17" fillId="13" borderId="38" xfId="10" applyFont="1" applyFill="1" applyBorder="1" applyAlignment="1">
      <alignment horizontal="center" vertical="center" wrapText="1"/>
    </xf>
    <xf numFmtId="0" fontId="17" fillId="13" borderId="22" xfId="10" applyFont="1" applyFill="1" applyBorder="1" applyAlignment="1">
      <alignment horizontal="center" vertical="center" wrapText="1"/>
    </xf>
    <xf numFmtId="0" fontId="17" fillId="13" borderId="23" xfId="10" applyFont="1" applyFill="1" applyBorder="1" applyAlignment="1">
      <alignment horizontal="center" vertical="center" wrapText="1"/>
    </xf>
    <xf numFmtId="0" fontId="1" fillId="2" borderId="2" xfId="0" applyFont="1" applyFill="1" applyBorder="1" applyAlignment="1">
      <alignment horizontal="left" vertical="center"/>
    </xf>
    <xf numFmtId="0" fontId="1" fillId="5" borderId="2" xfId="0" applyFont="1" applyFill="1" applyBorder="1" applyAlignment="1">
      <alignment horizontal="left" vertical="center"/>
    </xf>
    <xf numFmtId="0" fontId="1" fillId="19" borderId="2" xfId="0" applyFont="1" applyFill="1" applyBorder="1" applyAlignment="1">
      <alignment horizontal="left" vertical="center"/>
    </xf>
    <xf numFmtId="0" fontId="1" fillId="4" borderId="38" xfId="0" applyFont="1" applyFill="1" applyBorder="1" applyAlignment="1">
      <alignment horizontal="left" vertical="center"/>
    </xf>
    <xf numFmtId="0" fontId="0" fillId="4" borderId="2" xfId="0" applyFill="1" applyBorder="1" applyAlignment="1">
      <alignment horizontal="center" vertical="center"/>
    </xf>
    <xf numFmtId="0" fontId="12" fillId="6" borderId="26" xfId="0" applyFont="1" applyFill="1" applyBorder="1" applyAlignment="1">
      <alignment horizontal="left" vertical="center"/>
    </xf>
    <xf numFmtId="0" fontId="17" fillId="13" borderId="24" xfId="10" applyFont="1" applyFill="1" applyBorder="1" applyAlignment="1">
      <alignment horizontal="center" vertical="center" wrapText="1"/>
    </xf>
    <xf numFmtId="0" fontId="17" fillId="13" borderId="26" xfId="10" applyFont="1" applyFill="1" applyBorder="1" applyAlignment="1">
      <alignment horizontal="center" vertical="center" wrapText="1"/>
    </xf>
    <xf numFmtId="0" fontId="14" fillId="13" borderId="37" xfId="0" applyFont="1" applyFill="1" applyBorder="1" applyAlignment="1">
      <alignment horizontal="center" vertical="center" wrapText="1"/>
    </xf>
    <xf numFmtId="0" fontId="14" fillId="13" borderId="38" xfId="0" applyFont="1" applyFill="1" applyBorder="1" applyAlignment="1">
      <alignment horizontal="center" vertical="center" wrapText="1"/>
    </xf>
    <xf numFmtId="0" fontId="14" fillId="13" borderId="0"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14" fillId="13" borderId="26" xfId="0" applyFont="1" applyFill="1" applyBorder="1" applyAlignment="1">
      <alignment horizontal="center" vertical="center" wrapText="1"/>
    </xf>
    <xf numFmtId="10" fontId="1" fillId="13" borderId="13" xfId="0" applyNumberFormat="1" applyFont="1" applyFill="1" applyBorder="1" applyAlignment="1">
      <alignment horizontal="center" vertical="center"/>
    </xf>
    <xf numFmtId="10" fontId="1" fillId="13" borderId="20" xfId="0" applyNumberFormat="1" applyFont="1" applyFill="1" applyBorder="1" applyAlignment="1">
      <alignment horizontal="center" vertical="center"/>
    </xf>
    <xf numFmtId="0" fontId="18" fillId="13" borderId="0" xfId="0" applyFont="1" applyFill="1" applyAlignment="1">
      <alignment horizontal="center" vertical="center" wrapText="1"/>
    </xf>
    <xf numFmtId="0" fontId="18" fillId="13" borderId="0" xfId="0" applyFont="1" applyFill="1" applyAlignment="1">
      <alignment vertical="center" wrapText="1"/>
    </xf>
    <xf numFmtId="0" fontId="19" fillId="13" borderId="0" xfId="0" applyFont="1" applyFill="1" applyBorder="1" applyAlignment="1">
      <alignment vertical="center"/>
    </xf>
    <xf numFmtId="0" fontId="20" fillId="13" borderId="36" xfId="0" applyFont="1" applyFill="1" applyBorder="1">
      <alignment vertical="center"/>
    </xf>
    <xf numFmtId="0" fontId="20" fillId="13" borderId="37" xfId="0" applyFont="1" applyFill="1" applyBorder="1">
      <alignment vertical="center"/>
    </xf>
    <xf numFmtId="0" fontId="19" fillId="13" borderId="37" xfId="0" applyFont="1" applyFill="1" applyBorder="1" applyAlignment="1">
      <alignment vertical="center"/>
    </xf>
    <xf numFmtId="0" fontId="20" fillId="13" borderId="22" xfId="0" applyFont="1" applyFill="1" applyBorder="1">
      <alignment vertical="center"/>
    </xf>
    <xf numFmtId="0" fontId="20" fillId="13" borderId="0" xfId="0" applyFont="1" applyFill="1">
      <alignment vertical="center"/>
    </xf>
    <xf numFmtId="0" fontId="20" fillId="13" borderId="24" xfId="0" applyFont="1" applyFill="1" applyBorder="1">
      <alignment vertical="center"/>
    </xf>
    <xf numFmtId="0" fontId="20" fillId="13" borderId="25" xfId="0" applyFont="1" applyFill="1" applyBorder="1">
      <alignment vertical="center"/>
    </xf>
    <xf numFmtId="0" fontId="19" fillId="13" borderId="25" xfId="0" applyFont="1" applyFill="1" applyBorder="1" applyAlignment="1">
      <alignment vertical="center"/>
    </xf>
    <xf numFmtId="176"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13" borderId="1" xfId="0" applyFont="1" applyFill="1" applyBorder="1" applyAlignment="1">
      <alignment vertical="center"/>
    </xf>
    <xf numFmtId="0" fontId="1" fillId="13" borderId="3" xfId="0" applyFont="1" applyFill="1" applyBorder="1" applyAlignment="1">
      <alignment vertical="center"/>
    </xf>
    <xf numFmtId="0" fontId="1" fillId="22" borderId="3"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13" borderId="51" xfId="0" applyFont="1" applyFill="1" applyBorder="1" applyAlignment="1">
      <alignment vertical="center"/>
    </xf>
    <xf numFmtId="0" fontId="1" fillId="12" borderId="3" xfId="0" applyFont="1" applyFill="1" applyBorder="1" applyAlignment="1">
      <alignment vertical="center"/>
    </xf>
    <xf numFmtId="0" fontId="1" fillId="12" borderId="51" xfId="0" applyFont="1" applyFill="1" applyBorder="1" applyAlignment="1">
      <alignment vertical="center"/>
    </xf>
    <xf numFmtId="0" fontId="1" fillId="12" borderId="1" xfId="0" applyFont="1" applyFill="1" applyBorder="1" applyAlignment="1">
      <alignment vertical="center"/>
    </xf>
    <xf numFmtId="0" fontId="1" fillId="12" borderId="2" xfId="0" applyFont="1" applyFill="1" applyBorder="1" applyAlignment="1">
      <alignment vertical="center"/>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0" xfId="0" applyFont="1" applyFill="1" applyBorder="1" applyAlignment="1">
      <alignment vertical="center" wrapText="1"/>
    </xf>
    <xf numFmtId="0" fontId="1" fillId="0" borderId="36" xfId="0" applyFont="1" applyFill="1" applyBorder="1" applyAlignment="1">
      <alignment vertical="center" wrapText="1"/>
    </xf>
    <xf numFmtId="0" fontId="1" fillId="0" borderId="37" xfId="0" applyFont="1" applyFill="1" applyBorder="1" applyAlignment="1">
      <alignment vertical="center" wrapText="1"/>
    </xf>
    <xf numFmtId="0" fontId="1" fillId="0" borderId="22" xfId="0" applyFont="1" applyFill="1" applyBorder="1" applyAlignment="1">
      <alignment vertical="center" wrapText="1"/>
    </xf>
    <xf numFmtId="0" fontId="20" fillId="13"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51" xfId="0" applyFont="1" applyFill="1" applyBorder="1" applyAlignment="1">
      <alignment vertical="center"/>
    </xf>
    <xf numFmtId="0" fontId="0" fillId="0" borderId="4" xfId="0" applyBorder="1">
      <alignment vertical="center"/>
    </xf>
    <xf numFmtId="0" fontId="0" fillId="0" borderId="7" xfId="0" applyBorder="1">
      <alignment vertical="center"/>
    </xf>
    <xf numFmtId="0" fontId="1" fillId="0" borderId="13"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38" xfId="0" applyFont="1" applyFill="1" applyBorder="1" applyAlignment="1">
      <alignment vertical="center" wrapText="1"/>
    </xf>
    <xf numFmtId="0" fontId="1" fillId="0" borderId="23" xfId="0" applyFont="1" applyFill="1" applyBorder="1" applyAlignment="1">
      <alignment vertical="center" wrapText="1"/>
    </xf>
    <xf numFmtId="0" fontId="19" fillId="13" borderId="38" xfId="0" applyFont="1" applyFill="1" applyBorder="1" applyAlignment="1">
      <alignment vertical="center"/>
    </xf>
    <xf numFmtId="0" fontId="19" fillId="13" borderId="23" xfId="0" applyFont="1" applyFill="1" applyBorder="1" applyAlignment="1">
      <alignment vertical="center"/>
    </xf>
    <xf numFmtId="0" fontId="19" fillId="13" borderId="26" xfId="0" applyFont="1" applyFill="1" applyBorder="1" applyAlignment="1">
      <alignment vertical="center"/>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0" fontId="21" fillId="13" borderId="36" xfId="0" applyFont="1" applyFill="1" applyBorder="1" applyAlignment="1">
      <alignment vertical="center"/>
    </xf>
    <xf numFmtId="0" fontId="21" fillId="13" borderId="37" xfId="0" applyFont="1" applyFill="1" applyBorder="1" applyAlignment="1">
      <alignment vertical="center"/>
    </xf>
    <xf numFmtId="0" fontId="21" fillId="13" borderId="22" xfId="0" applyFont="1" applyFill="1" applyBorder="1" applyAlignment="1">
      <alignment vertical="center"/>
    </xf>
    <xf numFmtId="0" fontId="21" fillId="13" borderId="0" xfId="0" applyFont="1" applyFill="1" applyBorder="1" applyAlignment="1">
      <alignment vertical="center"/>
    </xf>
    <xf numFmtId="0" fontId="0" fillId="13" borderId="22" xfId="0" applyFont="1" applyFill="1" applyBorder="1">
      <alignment vertical="center"/>
    </xf>
    <xf numFmtId="0" fontId="12" fillId="13" borderId="22" xfId="0" applyFont="1" applyFill="1" applyBorder="1" applyAlignment="1">
      <alignment vertical="center"/>
    </xf>
    <xf numFmtId="0" fontId="12" fillId="13" borderId="0" xfId="0" applyFont="1" applyFill="1" applyBorder="1" applyAlignment="1">
      <alignment vertical="center"/>
    </xf>
    <xf numFmtId="0" fontId="0" fillId="13" borderId="0" xfId="0" applyFont="1" applyFill="1">
      <alignment vertical="center"/>
    </xf>
    <xf numFmtId="0" fontId="0" fillId="13" borderId="24" xfId="0" applyFont="1" applyFill="1" applyBorder="1">
      <alignment vertical="center"/>
    </xf>
    <xf numFmtId="0" fontId="0" fillId="13" borderId="25" xfId="0" applyFont="1" applyFill="1" applyBorder="1">
      <alignment vertical="center"/>
    </xf>
    <xf numFmtId="0" fontId="1" fillId="0" borderId="26" xfId="0" applyFont="1" applyFill="1" applyBorder="1" applyAlignment="1">
      <alignment vertical="center" wrapText="1"/>
    </xf>
    <xf numFmtId="0" fontId="21" fillId="13" borderId="38" xfId="0" applyFont="1" applyFill="1" applyBorder="1" applyAlignment="1">
      <alignment vertical="center"/>
    </xf>
    <xf numFmtId="0" fontId="21" fillId="13" borderId="23" xfId="0" applyFont="1" applyFill="1" applyBorder="1" applyAlignment="1">
      <alignment vertical="center"/>
    </xf>
    <xf numFmtId="0" fontId="12" fillId="13" borderId="23" xfId="0" applyFont="1" applyFill="1" applyBorder="1" applyAlignment="1">
      <alignment vertical="center"/>
    </xf>
    <xf numFmtId="0" fontId="0" fillId="13" borderId="23" xfId="0" applyFont="1" applyFill="1" applyBorder="1">
      <alignment vertical="center"/>
    </xf>
    <xf numFmtId="0" fontId="0" fillId="13" borderId="26" xfId="0" applyFont="1" applyFill="1" applyBorder="1">
      <alignment vertical="center"/>
    </xf>
    <xf numFmtId="0" fontId="22" fillId="0" borderId="0" xfId="0" applyFont="1">
      <alignment vertical="center"/>
    </xf>
    <xf numFmtId="0" fontId="23" fillId="22" borderId="36" xfId="0" applyFont="1" applyFill="1" applyBorder="1" applyAlignment="1">
      <alignment horizontal="centerContinuous" vertical="center"/>
    </xf>
    <xf numFmtId="0" fontId="23" fillId="22" borderId="37" xfId="0" applyFont="1" applyFill="1" applyBorder="1" applyAlignment="1">
      <alignment horizontal="centerContinuous" vertical="center"/>
    </xf>
    <xf numFmtId="0" fontId="23" fillId="22" borderId="22" xfId="0" applyFont="1" applyFill="1" applyBorder="1" applyAlignment="1">
      <alignment horizontal="centerContinuous" vertical="center"/>
    </xf>
    <xf numFmtId="0" fontId="23" fillId="22" borderId="0" xfId="0" applyFont="1" applyFill="1" applyBorder="1" applyAlignment="1">
      <alignment horizontal="centerContinuous" vertical="center"/>
    </xf>
    <xf numFmtId="0" fontId="8" fillId="0" borderId="36" xfId="10" applyFont="1" applyFill="1" applyBorder="1" applyAlignment="1">
      <alignment horizontal="centerContinuous" vertical="center"/>
    </xf>
    <xf numFmtId="0" fontId="8" fillId="0" borderId="37" xfId="10" applyFont="1" applyFill="1" applyBorder="1" applyAlignment="1">
      <alignment horizontal="centerContinuous" vertical="center"/>
    </xf>
    <xf numFmtId="0" fontId="8" fillId="0" borderId="24" xfId="10" applyFont="1" applyFill="1" applyBorder="1" applyAlignment="1">
      <alignment horizontal="centerContinuous" vertical="center"/>
    </xf>
    <xf numFmtId="0" fontId="8" fillId="0" borderId="25" xfId="10" applyFont="1" applyFill="1" applyBorder="1" applyAlignment="1">
      <alignment horizontal="centerContinuous" vertical="center"/>
    </xf>
    <xf numFmtId="0" fontId="12" fillId="13" borderId="36" xfId="0" applyFont="1" applyFill="1" applyBorder="1" applyAlignment="1">
      <alignment horizontal="left" vertical="center" wrapText="1"/>
    </xf>
    <xf numFmtId="0" fontId="12" fillId="13" borderId="37"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0" xfId="0" applyFont="1" applyFill="1" applyAlignment="1">
      <alignment horizontal="left" vertical="center" wrapText="1"/>
    </xf>
    <xf numFmtId="0" fontId="12" fillId="13" borderId="0" xfId="0" applyFont="1" applyFill="1" applyBorder="1" applyAlignment="1">
      <alignment horizontal="left" vertical="center" wrapText="1"/>
    </xf>
    <xf numFmtId="0" fontId="12" fillId="13" borderId="24" xfId="0" applyFont="1" applyFill="1" applyBorder="1" applyAlignment="1">
      <alignment horizontal="left" vertical="center" wrapText="1"/>
    </xf>
    <xf numFmtId="0" fontId="12" fillId="13" borderId="25" xfId="0" applyFont="1" applyFill="1" applyBorder="1" applyAlignment="1">
      <alignment horizontal="left" vertical="center" wrapText="1"/>
    </xf>
    <xf numFmtId="0" fontId="0" fillId="13" borderId="36" xfId="0" applyFont="1" applyFill="1" applyBorder="1" applyAlignment="1">
      <alignment horizontal="left" vertical="center" wrapText="1"/>
    </xf>
    <xf numFmtId="0" fontId="0" fillId="13" borderId="37" xfId="0" applyFont="1" applyFill="1" applyBorder="1" applyAlignment="1">
      <alignment horizontal="left" vertical="center" wrapText="1"/>
    </xf>
    <xf numFmtId="0" fontId="0" fillId="13" borderId="22" xfId="0"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24" xfId="0" applyFont="1" applyFill="1" applyBorder="1" applyAlignment="1">
      <alignment horizontal="left" vertical="center" wrapText="1"/>
    </xf>
    <xf numFmtId="0" fontId="0" fillId="13" borderId="25" xfId="0" applyFont="1" applyFill="1" applyBorder="1" applyAlignment="1">
      <alignment horizontal="left" vertical="center" wrapText="1"/>
    </xf>
    <xf numFmtId="0" fontId="8" fillId="13" borderId="36" xfId="10" applyFont="1" applyFill="1" applyBorder="1" applyAlignment="1">
      <alignment horizontal="center" vertical="center" wrapText="1"/>
    </xf>
    <xf numFmtId="0" fontId="8" fillId="13" borderId="37" xfId="10" applyFont="1" applyFill="1" applyBorder="1" applyAlignment="1">
      <alignment horizontal="center" vertical="center" wrapText="1"/>
    </xf>
    <xf numFmtId="0" fontId="8" fillId="13" borderId="24" xfId="10" applyFont="1" applyFill="1" applyBorder="1" applyAlignment="1">
      <alignment horizontal="center" vertical="center" wrapText="1"/>
    </xf>
    <xf numFmtId="0" fontId="8" fillId="13" borderId="25" xfId="10" applyFont="1" applyFill="1" applyBorder="1" applyAlignment="1">
      <alignment horizontal="center" vertical="center" wrapText="1"/>
    </xf>
    <xf numFmtId="0" fontId="12" fillId="13" borderId="11" xfId="0" applyFont="1" applyFill="1" applyBorder="1" applyAlignment="1">
      <alignment horizontal="left" vertical="center" wrapText="1"/>
    </xf>
    <xf numFmtId="0" fontId="12" fillId="13" borderId="12" xfId="0" applyFont="1" applyFill="1" applyBorder="1" applyAlignment="1">
      <alignment horizontal="left" vertical="center" wrapText="1"/>
    </xf>
    <xf numFmtId="0" fontId="12" fillId="13" borderId="41" xfId="0" applyFont="1" applyFill="1" applyBorder="1" applyAlignment="1">
      <alignment horizontal="left" vertical="center" wrapText="1"/>
    </xf>
    <xf numFmtId="0" fontId="12" fillId="13" borderId="42" xfId="0" applyFont="1" applyFill="1" applyBorder="1" applyAlignment="1">
      <alignment horizontal="left" vertical="center" wrapText="1"/>
    </xf>
    <xf numFmtId="0" fontId="12" fillId="13" borderId="16" xfId="0" applyFont="1" applyFill="1" applyBorder="1" applyAlignment="1">
      <alignment horizontal="left" vertical="center" wrapText="1"/>
    </xf>
    <xf numFmtId="0" fontId="12" fillId="13" borderId="15" xfId="0" applyFont="1" applyFill="1" applyBorder="1" applyAlignment="1">
      <alignment horizontal="left" vertical="center" wrapText="1"/>
    </xf>
    <xf numFmtId="0" fontId="12" fillId="13" borderId="30" xfId="0" applyFont="1" applyFill="1" applyBorder="1" applyAlignment="1">
      <alignment horizontal="left" vertical="center" wrapText="1"/>
    </xf>
    <xf numFmtId="0" fontId="12" fillId="13" borderId="31" xfId="0" applyFont="1" applyFill="1" applyBorder="1" applyAlignment="1">
      <alignment horizontal="left" vertical="center" wrapText="1"/>
    </xf>
    <xf numFmtId="0" fontId="12" fillId="13" borderId="1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12" fillId="13" borderId="36" xfId="0" applyFont="1" applyFill="1" applyBorder="1" applyAlignment="1">
      <alignment horizontal="center" vertical="center" wrapText="1"/>
    </xf>
    <xf numFmtId="0" fontId="12" fillId="13" borderId="37" xfId="0" applyFont="1" applyFill="1" applyBorder="1" applyAlignment="1">
      <alignment horizontal="center" vertical="center" wrapText="1"/>
    </xf>
    <xf numFmtId="0" fontId="12" fillId="13" borderId="24"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24" fillId="13" borderId="36" xfId="10" applyFont="1" applyFill="1" applyBorder="1" applyAlignment="1">
      <alignment horizontal="center" vertical="center"/>
    </xf>
    <xf numFmtId="0" fontId="24" fillId="13" borderId="37" xfId="10" applyFont="1" applyFill="1" applyBorder="1" applyAlignment="1">
      <alignment horizontal="center" vertical="center"/>
    </xf>
    <xf numFmtId="0" fontId="24" fillId="13" borderId="24" xfId="10" applyFont="1" applyFill="1" applyBorder="1" applyAlignment="1">
      <alignment horizontal="center" vertical="center"/>
    </xf>
    <xf numFmtId="0" fontId="24" fillId="13" borderId="25" xfId="10" applyFont="1" applyFill="1" applyBorder="1" applyAlignment="1">
      <alignment horizontal="center" vertical="center"/>
    </xf>
    <xf numFmtId="0" fontId="24" fillId="0" borderId="36" xfId="10" applyFont="1" applyBorder="1" applyAlignment="1">
      <alignment horizontal="centerContinuous" vertical="center"/>
    </xf>
    <xf numFmtId="0" fontId="24" fillId="0" borderId="37" xfId="10" applyFont="1" applyBorder="1" applyAlignment="1">
      <alignment horizontal="centerContinuous" vertical="center"/>
    </xf>
    <xf numFmtId="0" fontId="24" fillId="0" borderId="24" xfId="10" applyFont="1" applyBorder="1" applyAlignment="1">
      <alignment horizontal="centerContinuous" vertical="center"/>
    </xf>
    <xf numFmtId="0" fontId="24" fillId="0" borderId="25" xfId="10" applyFont="1" applyBorder="1" applyAlignment="1">
      <alignment horizontal="centerContinuous" vertical="center"/>
    </xf>
    <xf numFmtId="0" fontId="8" fillId="0" borderId="36" xfId="10" applyFont="1" applyBorder="1" applyAlignment="1">
      <alignment horizontal="center" vertical="center" wrapText="1"/>
    </xf>
    <xf numFmtId="0" fontId="8" fillId="0" borderId="37" xfId="10" applyFont="1" applyFill="1" applyBorder="1" applyAlignment="1">
      <alignment horizontal="center" vertical="center" wrapText="1"/>
    </xf>
    <xf numFmtId="0" fontId="8" fillId="0" borderId="24" xfId="10" applyFont="1" applyFill="1" applyBorder="1" applyAlignment="1">
      <alignment horizontal="center" vertical="center" wrapText="1"/>
    </xf>
    <xf numFmtId="0" fontId="8" fillId="0" borderId="25" xfId="10" applyFont="1" applyFill="1" applyBorder="1" applyAlignment="1">
      <alignment horizontal="center" vertical="center" wrapText="1"/>
    </xf>
    <xf numFmtId="0" fontId="0" fillId="0" borderId="4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right"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right"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51" xfId="0" applyBorder="1" applyAlignment="1">
      <alignment horizontal="center" vertical="center"/>
    </xf>
    <xf numFmtId="0" fontId="23" fillId="22" borderId="38" xfId="0" applyFont="1" applyFill="1" applyBorder="1" applyAlignment="1">
      <alignment horizontal="centerContinuous" vertical="center"/>
    </xf>
    <xf numFmtId="0" fontId="23" fillId="22" borderId="23" xfId="0" applyFont="1" applyFill="1" applyBorder="1" applyAlignment="1">
      <alignment horizontal="centerContinuous" vertical="center"/>
    </xf>
    <xf numFmtId="0" fontId="8" fillId="0" borderId="38" xfId="10" applyFont="1" applyFill="1" applyBorder="1" applyAlignment="1">
      <alignment horizontal="centerContinuous" vertical="center"/>
    </xf>
    <xf numFmtId="0" fontId="8" fillId="0" borderId="26" xfId="10" applyFont="1" applyFill="1" applyBorder="1" applyAlignment="1">
      <alignment horizontal="centerContinuous" vertical="center"/>
    </xf>
    <xf numFmtId="0" fontId="12" fillId="13" borderId="38"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12" fillId="13" borderId="26" xfId="0" applyFont="1" applyFill="1" applyBorder="1" applyAlignment="1">
      <alignment horizontal="left" vertical="center" wrapText="1"/>
    </xf>
    <xf numFmtId="0" fontId="0" fillId="13" borderId="38" xfId="0" applyFont="1" applyFill="1" applyBorder="1" applyAlignment="1">
      <alignment horizontal="left" vertical="center" wrapText="1"/>
    </xf>
    <xf numFmtId="0" fontId="0" fillId="13" borderId="23" xfId="0" applyFont="1" applyFill="1" applyBorder="1" applyAlignment="1">
      <alignment horizontal="left" vertical="center" wrapText="1"/>
    </xf>
    <xf numFmtId="0" fontId="0" fillId="13" borderId="26" xfId="0" applyFont="1" applyFill="1" applyBorder="1" applyAlignment="1">
      <alignment horizontal="left" vertical="center" wrapText="1"/>
    </xf>
    <xf numFmtId="0" fontId="8" fillId="13" borderId="38" xfId="10" applyFont="1" applyFill="1" applyBorder="1" applyAlignment="1">
      <alignment horizontal="center" vertical="center" wrapText="1"/>
    </xf>
    <xf numFmtId="0" fontId="8" fillId="13" borderId="26" xfId="10" applyFont="1" applyFill="1" applyBorder="1" applyAlignment="1">
      <alignment horizontal="center" vertical="center" wrapText="1"/>
    </xf>
    <xf numFmtId="0" fontId="12" fillId="13" borderId="13" xfId="0" applyFont="1" applyFill="1" applyBorder="1" applyAlignment="1">
      <alignment horizontal="left" vertical="center" wrapText="1"/>
    </xf>
    <xf numFmtId="0" fontId="12" fillId="13" borderId="45" xfId="0" applyFont="1" applyFill="1" applyBorder="1" applyAlignment="1">
      <alignment horizontal="left" vertical="center" wrapText="1"/>
    </xf>
    <xf numFmtId="0" fontId="12" fillId="13" borderId="17" xfId="0" applyFont="1" applyFill="1" applyBorder="1" applyAlignment="1">
      <alignment horizontal="left" vertical="center" wrapText="1"/>
    </xf>
    <xf numFmtId="0" fontId="12" fillId="13" borderId="44" xfId="0" applyFont="1" applyFill="1" applyBorder="1" applyAlignment="1">
      <alignment horizontal="left" vertical="center" wrapText="1"/>
    </xf>
    <xf numFmtId="0" fontId="12" fillId="13" borderId="20" xfId="0" applyFont="1" applyFill="1" applyBorder="1" applyAlignment="1">
      <alignment horizontal="left" vertical="center" wrapText="1"/>
    </xf>
    <xf numFmtId="0" fontId="12" fillId="13" borderId="38"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24" fillId="13" borderId="38" xfId="10" applyFont="1" applyFill="1" applyBorder="1" applyAlignment="1">
      <alignment horizontal="center" vertical="center"/>
    </xf>
    <xf numFmtId="0" fontId="24" fillId="13" borderId="26" xfId="10" applyFont="1" applyFill="1" applyBorder="1" applyAlignment="1">
      <alignment horizontal="center" vertical="center"/>
    </xf>
    <xf numFmtId="0" fontId="24" fillId="0" borderId="38" xfId="10" applyFont="1" applyBorder="1" applyAlignment="1">
      <alignment horizontal="centerContinuous" vertical="center"/>
    </xf>
    <xf numFmtId="0" fontId="24" fillId="0" borderId="26" xfId="10" applyFont="1" applyBorder="1" applyAlignment="1">
      <alignment horizontal="centerContinuous" vertical="center"/>
    </xf>
    <xf numFmtId="0" fontId="8" fillId="0" borderId="38" xfId="10" applyFont="1" applyFill="1" applyBorder="1" applyAlignment="1">
      <alignment horizontal="center" vertical="center" wrapText="1"/>
    </xf>
    <xf numFmtId="0" fontId="8" fillId="0" borderId="26" xfId="10" applyFont="1" applyFill="1" applyBorder="1" applyAlignment="1">
      <alignment horizontal="center" vertical="center" wrapText="1"/>
    </xf>
    <xf numFmtId="0" fontId="0" fillId="0" borderId="66" xfId="0" applyBorder="1" applyAlignment="1">
      <alignment horizontal="center" vertical="center"/>
    </xf>
    <xf numFmtId="0" fontId="0" fillId="0" borderId="17" xfId="0" applyBorder="1">
      <alignment vertical="center"/>
    </xf>
    <xf numFmtId="0" fontId="0" fillId="0" borderId="17" xfId="0" applyBorder="1" applyAlignment="1">
      <alignment horizontal="right" vertical="center"/>
    </xf>
    <xf numFmtId="0" fontId="0" fillId="0" borderId="20" xfId="0" applyBorder="1">
      <alignment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b val="1"/>
        <i val="0"/>
        <color rgb="FFFF0000"/>
      </font>
    </dxf>
    <dxf>
      <fill>
        <patternFill patternType="solid">
          <bgColor theme="0" tint="-0.15"/>
        </patternFill>
      </fill>
    </dxf>
    <dxf>
      <font>
        <b val="1"/>
        <i val="0"/>
        <color rgb="FFFF0000"/>
      </font>
      <fill>
        <patternFill patternType="solid">
          <bgColor rgb="FFFFFF00"/>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白天模拟!$B$52:$B$57</c:f>
              <c:numCache>
                <c:formatCode>General</c:formatCode>
                <c:ptCount val="6"/>
                <c:pt idx="0">
                  <c:v>0.155473319636351</c:v>
                </c:pt>
                <c:pt idx="1">
                  <c:v>7.89109821386057</c:v>
                </c:pt>
                <c:pt idx="2">
                  <c:v>2.66414580429378</c:v>
                </c:pt>
                <c:pt idx="3">
                  <c:v>2.43012082691855</c:v>
                </c:pt>
                <c:pt idx="4">
                  <c:v>6.11058253001835</c:v>
                </c:pt>
                <c:pt idx="5">
                  <c:v>1.28673153108582</c:v>
                </c:pt>
              </c:numCache>
            </c:numRef>
          </c:val>
        </c:ser>
        <c:dLbls>
          <c:showLegendKey val="0"/>
          <c:showVal val="0"/>
          <c:showCatName val="0"/>
          <c:showSerName val="0"/>
          <c:showPercent val="0"/>
          <c:showBubbleSize val="0"/>
        </c:dLbls>
      </c:pie3DChart>
      <c:spPr>
        <a:noFill/>
        <a:ln>
          <a:noFill/>
        </a:ln>
        <a:effectLst/>
      </c:spPr>
    </c:plotArea>
    <c:legend>
      <c:legendPos val="b"/>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solidFill>
                <a:schemeClr val="accent5"/>
              </a:soli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白天模拟!$C$52:$C$57</c:f>
              <c:numCache>
                <c:formatCode>General</c:formatCode>
                <c:ptCount val="6"/>
                <c:pt idx="0">
                  <c:v>0.482900814008521</c:v>
                </c:pt>
                <c:pt idx="1">
                  <c:v>0</c:v>
                </c:pt>
                <c:pt idx="2">
                  <c:v>0.32574952990727</c:v>
                </c:pt>
                <c:pt idx="3">
                  <c:v>0.220060766760709</c:v>
                </c:pt>
                <c:pt idx="4">
                  <c:v>0</c:v>
                </c:pt>
                <c:pt idx="5">
                  <c:v>0</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4"/>
        <c:delete val="1"/>
      </c:legendEntry>
      <c:legendEntry>
        <c:idx val="5"/>
        <c:delete val="1"/>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白天模拟!$D$52:$D$57</c:f>
              <c:numCache>
                <c:formatCode>General</c:formatCode>
                <c:ptCount val="6"/>
                <c:pt idx="0">
                  <c:v>0</c:v>
                </c:pt>
                <c:pt idx="1">
                  <c:v>0.491135460159869</c:v>
                </c:pt>
                <c:pt idx="2">
                  <c:v>0.0385887919790759</c:v>
                </c:pt>
                <c:pt idx="3">
                  <c:v>0.0337045528694194</c:v>
                </c:pt>
                <c:pt idx="4">
                  <c:v>0.207297977287047</c:v>
                </c:pt>
                <c:pt idx="5">
                  <c:v>0.0236066882283274</c:v>
                </c:pt>
              </c:numCache>
            </c:numRef>
          </c:val>
        </c:ser>
        <c:dLbls>
          <c:showLegendKey val="0"/>
          <c:showVal val="0"/>
          <c:showCatName val="0"/>
          <c:showSerName val="0"/>
          <c:showPercent val="0"/>
          <c:showBubbleSize val="0"/>
        </c:dLbls>
      </c:pie3DChart>
      <c:spPr>
        <a:noFill/>
        <a:ln>
          <a:noFill/>
        </a:ln>
        <a:effectLst/>
      </c:spPr>
    </c:plotArea>
    <c:legend>
      <c:legendPos val="b"/>
      <c:legendEntry>
        <c:idx val="0"/>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白天模拟!$E$52:$E$57</c:f>
              <c:numCache>
                <c:formatCode>General</c:formatCode>
                <c:ptCount val="6"/>
                <c:pt idx="0">
                  <c:v>0.0137294328220413</c:v>
                </c:pt>
                <c:pt idx="1">
                  <c:v>0</c:v>
                </c:pt>
                <c:pt idx="2">
                  <c:v>0</c:v>
                </c:pt>
                <c:pt idx="3">
                  <c:v>0.142366271376243</c:v>
                </c:pt>
                <c:pt idx="4">
                  <c:v>0.0999494969153053</c:v>
                </c:pt>
                <c:pt idx="5">
                  <c:v>0.000284890976022878</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-275080.704545455</c:v>
                </c:pt>
                <c:pt idx="1">
                  <c:v>-673509.340909091</c:v>
                </c:pt>
                <c:pt idx="2">
                  <c:v>-1381239.34090909</c:v>
                </c:pt>
                <c:pt idx="3">
                  <c:v>67865.7954545454</c:v>
                </c:pt>
                <c:pt idx="4">
                  <c:v>6921.47727272722</c:v>
                </c:pt>
                <c:pt idx="5">
                  <c:v>14518.2954545454</c:v>
                </c:pt>
                <c:pt idx="6">
                  <c:v>163588.295454545</c:v>
                </c:pt>
                <c:pt idx="7">
                  <c:v>1944330.34090909</c:v>
                </c:pt>
                <c:pt idx="8">
                  <c:v>-245574.204545455</c:v>
                </c:pt>
                <c:pt idx="9">
                  <c:v>-596673.068181818</c:v>
                </c:pt>
                <c:pt idx="10">
                  <c:v>-882184.431818182</c:v>
                </c:pt>
                <c:pt idx="11">
                  <c:v>497419.431818182</c:v>
                </c:pt>
                <c:pt idx="12">
                  <c:v>-197301.477272727</c:v>
                </c:pt>
                <c:pt idx="13">
                  <c:v>-509782.159090909</c:v>
                </c:pt>
                <c:pt idx="14">
                  <c:v>-743158.977272727</c:v>
                </c:pt>
                <c:pt idx="15">
                  <c:v>688257.613636363</c:v>
                </c:pt>
                <c:pt idx="16">
                  <c:v>-156625.568181818</c:v>
                </c:pt>
                <c:pt idx="17">
                  <c:v>-289019.659090909</c:v>
                </c:pt>
                <c:pt idx="18">
                  <c:v>-145357.159090909</c:v>
                </c:pt>
                <c:pt idx="19">
                  <c:v>-284128.977272727</c:v>
                </c:pt>
                <c:pt idx="20">
                  <c:v>-253234.431818182</c:v>
                </c:pt>
                <c:pt idx="21">
                  <c:v>-281808.068181818</c:v>
                </c:pt>
                <c:pt idx="22">
                  <c:v>-933421.704545455</c:v>
                </c:pt>
                <c:pt idx="23">
                  <c:v>-1222024.43181818</c:v>
                </c:pt>
                <c:pt idx="24">
                  <c:v>-1915084.43181818</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6" Type="http://schemas.openxmlformats.org/officeDocument/2006/relationships/image" Target="../media/image13.jpeg"/><Relationship Id="rId5" Type="http://schemas.openxmlformats.org/officeDocument/2006/relationships/image" Target="../media/image12.jpeg"/><Relationship Id="rId4" Type="http://schemas.openxmlformats.org/officeDocument/2006/relationships/image" Target="../media/image11.jpeg"/><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32</xdr:row>
      <xdr:rowOff>286385</xdr:rowOff>
    </xdr:from>
    <xdr:to>
      <xdr:col>7</xdr:col>
      <xdr:colOff>480060</xdr:colOff>
      <xdr:row>47</xdr:row>
      <xdr:rowOff>144145</xdr:rowOff>
    </xdr:to>
    <xdr:graphicFrame>
      <xdr:nvGraphicFramePr>
        <xdr:cNvPr id="3" name="图表 2"/>
        <xdr:cNvGraphicFramePr/>
      </xdr:nvGraphicFramePr>
      <xdr:xfrm>
        <a:off x="286385" y="7156450"/>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33</xdr:row>
      <xdr:rowOff>86995</xdr:rowOff>
    </xdr:from>
    <xdr:to>
      <xdr:col>15</xdr:col>
      <xdr:colOff>683895</xdr:colOff>
      <xdr:row>47</xdr:row>
      <xdr:rowOff>149860</xdr:rowOff>
    </xdr:to>
    <xdr:graphicFrame>
      <xdr:nvGraphicFramePr>
        <xdr:cNvPr id="4" name="图表 3"/>
        <xdr:cNvGraphicFramePr/>
      </xdr:nvGraphicFramePr>
      <xdr:xfrm>
        <a:off x="5344160" y="7249160"/>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xdr:colOff>
      <xdr:row>165</xdr:row>
      <xdr:rowOff>8890</xdr:rowOff>
    </xdr:from>
    <xdr:to>
      <xdr:col>15</xdr:col>
      <xdr:colOff>469900</xdr:colOff>
      <xdr:row>195</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274320" y="33340040"/>
          <a:ext cx="10058400" cy="5530215"/>
        </a:xfrm>
        <a:prstGeom prst="rect">
          <a:avLst/>
        </a:prstGeom>
      </xdr:spPr>
    </xdr:pic>
    <xdr:clientData/>
  </xdr:twoCellAnchor>
  <xdr:twoCellAnchor>
    <xdr:from>
      <xdr:col>1</xdr:col>
      <xdr:colOff>51435</xdr:colOff>
      <xdr:row>50</xdr:row>
      <xdr:rowOff>0</xdr:rowOff>
    </xdr:from>
    <xdr:to>
      <xdr:col>7</xdr:col>
      <xdr:colOff>511810</xdr:colOff>
      <xdr:row>64</xdr:row>
      <xdr:rowOff>111760</xdr:rowOff>
    </xdr:to>
    <xdr:graphicFrame>
      <xdr:nvGraphicFramePr>
        <xdr:cNvPr id="18" name="图表 17"/>
        <xdr:cNvGraphicFramePr/>
      </xdr:nvGraphicFramePr>
      <xdr:xfrm>
        <a:off x="318135" y="10631170"/>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69215</xdr:colOff>
      <xdr:row>49</xdr:row>
      <xdr:rowOff>163830</xdr:rowOff>
    </xdr:from>
    <xdr:to>
      <xdr:col>15</xdr:col>
      <xdr:colOff>394335</xdr:colOff>
      <xdr:row>64</xdr:row>
      <xdr:rowOff>184150</xdr:rowOff>
    </xdr:to>
    <xdr:graphicFrame>
      <xdr:nvGraphicFramePr>
        <xdr:cNvPr id="2" name="图表 1"/>
        <xdr:cNvGraphicFramePr/>
      </xdr:nvGraphicFramePr>
      <xdr:xfrm>
        <a:off x="5384800" y="10596880"/>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65</xdr:row>
      <xdr:rowOff>36195</xdr:rowOff>
    </xdr:from>
    <xdr:to>
      <xdr:col>19</xdr:col>
      <xdr:colOff>495935</xdr:colOff>
      <xdr:row>97</xdr:row>
      <xdr:rowOff>153035</xdr:rowOff>
    </xdr:to>
    <xdr:graphicFrame>
      <xdr:nvGraphicFramePr>
        <xdr:cNvPr id="6" name="图表 5"/>
        <xdr:cNvGraphicFramePr/>
      </xdr:nvGraphicFramePr>
      <xdr:xfrm>
        <a:off x="361950" y="13648690"/>
        <a:ext cx="13275310" cy="64566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xdr:row>
      <xdr:rowOff>8890</xdr:rowOff>
    </xdr:from>
    <xdr:to>
      <xdr:col>1</xdr:col>
      <xdr:colOff>192405</xdr:colOff>
      <xdr:row>3</xdr:row>
      <xdr:rowOff>192405</xdr:rowOff>
    </xdr:to>
    <xdr:pic>
      <xdr:nvPicPr>
        <xdr:cNvPr id="3" name="图片 2" descr="k5dz1oy54bpt8hzuaiknyubdlznru7z"/>
        <xdr:cNvPicPr>
          <a:picLocks noChangeAspect="1"/>
        </xdr:cNvPicPr>
      </xdr:nvPicPr>
      <xdr:blipFill>
        <a:blip r:embed="rId1"/>
        <a:stretch>
          <a:fillRect/>
        </a:stretch>
      </xdr:blipFill>
      <xdr:spPr>
        <a:xfrm>
          <a:off x="313690" y="607060"/>
          <a:ext cx="182880" cy="183515"/>
        </a:xfrm>
        <a:prstGeom prst="rect">
          <a:avLst/>
        </a:prstGeom>
      </xdr:spPr>
    </xdr:pic>
    <xdr:clientData/>
  </xdr:twoCellAnchor>
  <xdr:twoCellAnchor editAs="oneCell">
    <xdr:from>
      <xdr:col>1</xdr:col>
      <xdr:colOff>5080</xdr:colOff>
      <xdr:row>2</xdr:row>
      <xdr:rowOff>9525</xdr:rowOff>
    </xdr:from>
    <xdr:to>
      <xdr:col>1</xdr:col>
      <xdr:colOff>188595</xdr:colOff>
      <xdr:row>2</xdr:row>
      <xdr:rowOff>193040</xdr:rowOff>
    </xdr:to>
    <xdr:pic>
      <xdr:nvPicPr>
        <xdr:cNvPr id="4" name="图片 3" descr="jtr1kbtblv53ja8j7wta2rf2z88ahff"/>
        <xdr:cNvPicPr>
          <a:picLocks noChangeAspect="1"/>
        </xdr:cNvPicPr>
      </xdr:nvPicPr>
      <xdr:blipFill>
        <a:blip r:embed="rId2"/>
        <a:stretch>
          <a:fillRect/>
        </a:stretch>
      </xdr:blipFill>
      <xdr:spPr>
        <a:xfrm>
          <a:off x="309245" y="409575"/>
          <a:ext cx="183515" cy="183515"/>
        </a:xfrm>
        <a:prstGeom prst="rect">
          <a:avLst/>
        </a:prstGeom>
      </xdr:spPr>
    </xdr:pic>
    <xdr:clientData/>
  </xdr:twoCellAnchor>
  <xdr:twoCellAnchor editAs="oneCell">
    <xdr:from>
      <xdr:col>1</xdr:col>
      <xdr:colOff>9525</xdr:colOff>
      <xdr:row>5</xdr:row>
      <xdr:rowOff>5715</xdr:rowOff>
    </xdr:from>
    <xdr:to>
      <xdr:col>1</xdr:col>
      <xdr:colOff>189230</xdr:colOff>
      <xdr:row>5</xdr:row>
      <xdr:rowOff>186690</xdr:rowOff>
    </xdr:to>
    <xdr:pic>
      <xdr:nvPicPr>
        <xdr:cNvPr id="5" name="图片 4" descr="q0ujouwym26owanuerv2s2gjrvpipqm"/>
        <xdr:cNvPicPr>
          <a:picLocks noChangeAspect="1"/>
        </xdr:cNvPicPr>
      </xdr:nvPicPr>
      <xdr:blipFill>
        <a:blip r:embed="rId3"/>
        <a:stretch>
          <a:fillRect/>
        </a:stretch>
      </xdr:blipFill>
      <xdr:spPr>
        <a:xfrm>
          <a:off x="313690" y="1000125"/>
          <a:ext cx="179705" cy="180975"/>
        </a:xfrm>
        <a:prstGeom prst="rect">
          <a:avLst/>
        </a:prstGeom>
      </xdr:spPr>
    </xdr:pic>
    <xdr:clientData/>
  </xdr:twoCellAnchor>
  <xdr:twoCellAnchor editAs="oneCell">
    <xdr:from>
      <xdr:col>1</xdr:col>
      <xdr:colOff>9525</xdr:colOff>
      <xdr:row>6</xdr:row>
      <xdr:rowOff>8255</xdr:rowOff>
    </xdr:from>
    <xdr:to>
      <xdr:col>1</xdr:col>
      <xdr:colOff>194310</xdr:colOff>
      <xdr:row>6</xdr:row>
      <xdr:rowOff>191770</xdr:rowOff>
    </xdr:to>
    <xdr:pic>
      <xdr:nvPicPr>
        <xdr:cNvPr id="6" name="图片 5" descr="38rpjdv36vrlae9zkowlhkb71outnfh"/>
        <xdr:cNvPicPr>
          <a:picLocks noChangeAspect="1"/>
        </xdr:cNvPicPr>
      </xdr:nvPicPr>
      <xdr:blipFill>
        <a:blip r:embed="rId4"/>
        <a:stretch>
          <a:fillRect/>
        </a:stretch>
      </xdr:blipFill>
      <xdr:spPr>
        <a:xfrm>
          <a:off x="313690" y="1200785"/>
          <a:ext cx="184785" cy="183515"/>
        </a:xfrm>
        <a:prstGeom prst="rect">
          <a:avLst/>
        </a:prstGeom>
      </xdr:spPr>
    </xdr:pic>
    <xdr:clientData/>
  </xdr:twoCellAnchor>
  <xdr:twoCellAnchor editAs="oneCell">
    <xdr:from>
      <xdr:col>1</xdr:col>
      <xdr:colOff>6350</xdr:colOff>
      <xdr:row>7</xdr:row>
      <xdr:rowOff>8890</xdr:rowOff>
    </xdr:from>
    <xdr:to>
      <xdr:col>1</xdr:col>
      <xdr:colOff>189865</xdr:colOff>
      <xdr:row>7</xdr:row>
      <xdr:rowOff>192405</xdr:rowOff>
    </xdr:to>
    <xdr:pic>
      <xdr:nvPicPr>
        <xdr:cNvPr id="7" name="图片 6" descr="pk67fjwb8i2gidpv5wsj0rn6cptm3sh"/>
        <xdr:cNvPicPr>
          <a:picLocks noChangeAspect="1"/>
        </xdr:cNvPicPr>
      </xdr:nvPicPr>
      <xdr:blipFill>
        <a:blip r:embed="rId5"/>
        <a:stretch>
          <a:fillRect/>
        </a:stretch>
      </xdr:blipFill>
      <xdr:spPr>
        <a:xfrm>
          <a:off x="310515" y="1399540"/>
          <a:ext cx="183515" cy="183515"/>
        </a:xfrm>
        <a:prstGeom prst="rect">
          <a:avLst/>
        </a:prstGeom>
      </xdr:spPr>
    </xdr:pic>
    <xdr:clientData/>
  </xdr:twoCellAnchor>
  <xdr:twoCellAnchor editAs="oneCell">
    <xdr:from>
      <xdr:col>1</xdr:col>
      <xdr:colOff>0</xdr:colOff>
      <xdr:row>3</xdr:row>
      <xdr:rowOff>196850</xdr:rowOff>
    </xdr:from>
    <xdr:to>
      <xdr:col>1</xdr:col>
      <xdr:colOff>180975</xdr:colOff>
      <xdr:row>4</xdr:row>
      <xdr:rowOff>184785</xdr:rowOff>
    </xdr:to>
    <xdr:pic>
      <xdr:nvPicPr>
        <xdr:cNvPr id="8" name="图片 7" descr="oifgggzgik1o88paxxikmtxv8fvuc52-1"/>
        <xdr:cNvPicPr/>
      </xdr:nvPicPr>
      <xdr:blipFill>
        <a:blip r:embed="rId6"/>
        <a:stretch>
          <a:fillRect/>
        </a:stretch>
      </xdr:blipFill>
      <xdr:spPr>
        <a:xfrm>
          <a:off x="304165" y="795020"/>
          <a:ext cx="180975" cy="18605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10160</xdr:colOff>
      <xdr:row>3</xdr:row>
      <xdr:rowOff>5715</xdr:rowOff>
    </xdr:from>
    <xdr:to>
      <xdr:col>1</xdr:col>
      <xdr:colOff>189865</xdr:colOff>
      <xdr:row>4</xdr:row>
      <xdr:rowOff>33020</xdr:rowOff>
    </xdr:to>
    <xdr:pic>
      <xdr:nvPicPr>
        <xdr:cNvPr id="2" name="图片 1" descr="m42kynl8f6biaivedwo3np4sxzrtee9"/>
        <xdr:cNvPicPr>
          <a:picLocks noChangeAspect="1"/>
        </xdr:cNvPicPr>
      </xdr:nvPicPr>
      <xdr:blipFill>
        <a:blip r:embed="rId1"/>
        <a:stretch>
          <a:fillRect/>
        </a:stretch>
      </xdr:blipFill>
      <xdr:spPr>
        <a:xfrm>
          <a:off x="299720" y="573405"/>
          <a:ext cx="179705" cy="219710"/>
        </a:xfrm>
        <a:prstGeom prst="rect">
          <a:avLst/>
        </a:prstGeom>
      </xdr:spPr>
    </xdr:pic>
    <xdr:clientData/>
  </xdr:twoCellAnchor>
  <xdr:twoCellAnchor editAs="oneCell">
    <xdr:from>
      <xdr:col>1</xdr:col>
      <xdr:colOff>10160</xdr:colOff>
      <xdr:row>2</xdr:row>
      <xdr:rowOff>5715</xdr:rowOff>
    </xdr:from>
    <xdr:to>
      <xdr:col>1</xdr:col>
      <xdr:colOff>189230</xdr:colOff>
      <xdr:row>3</xdr:row>
      <xdr:rowOff>33020</xdr:rowOff>
    </xdr:to>
    <xdr:pic>
      <xdr:nvPicPr>
        <xdr:cNvPr id="3" name="图片 2" descr="45px-试作舰载型BF-109GT0"/>
        <xdr:cNvPicPr>
          <a:picLocks noChangeAspect="1"/>
        </xdr:cNvPicPr>
      </xdr:nvPicPr>
      <xdr:blipFill>
        <a:blip r:embed="rId2"/>
        <a:stretch>
          <a:fillRect/>
        </a:stretch>
      </xdr:blipFill>
      <xdr:spPr>
        <a:xfrm>
          <a:off x="299720" y="390525"/>
          <a:ext cx="179070" cy="210185"/>
        </a:xfrm>
        <a:prstGeom prst="rect">
          <a:avLst/>
        </a:prstGeom>
      </xdr:spPr>
    </xdr:pic>
    <xdr:clientData/>
  </xdr:twoCellAnchor>
  <xdr:twoCellAnchor editAs="oneCell">
    <xdr:from>
      <xdr:col>1</xdr:col>
      <xdr:colOff>10160</xdr:colOff>
      <xdr:row>4</xdr:row>
      <xdr:rowOff>5715</xdr:rowOff>
    </xdr:from>
    <xdr:to>
      <xdr:col>1</xdr:col>
      <xdr:colOff>189230</xdr:colOff>
      <xdr:row>5</xdr:row>
      <xdr:rowOff>42545</xdr:rowOff>
    </xdr:to>
    <xdr:pic>
      <xdr:nvPicPr>
        <xdr:cNvPr id="4" name="图片 3" descr="45px-试作型三联装406mm主炮Model1940T0"/>
        <xdr:cNvPicPr>
          <a:picLocks noChangeAspect="1"/>
        </xdr:cNvPicPr>
      </xdr:nvPicPr>
      <xdr:blipFill>
        <a:blip r:embed="rId3"/>
        <a:stretch>
          <a:fillRect/>
        </a:stretch>
      </xdr:blipFill>
      <xdr:spPr>
        <a:xfrm>
          <a:off x="299720" y="765810"/>
          <a:ext cx="179070" cy="219710"/>
        </a:xfrm>
        <a:prstGeom prst="rect">
          <a:avLst/>
        </a:prstGeom>
      </xdr:spPr>
    </xdr:pic>
    <xdr:clientData/>
  </xdr:twoCellAnchor>
  <xdr:twoCellAnchor editAs="oneCell">
    <xdr:from>
      <xdr:col>1</xdr:col>
      <xdr:colOff>10160</xdr:colOff>
      <xdr:row>5</xdr:row>
      <xdr:rowOff>5715</xdr:rowOff>
    </xdr:from>
    <xdr:to>
      <xdr:col>1</xdr:col>
      <xdr:colOff>189230</xdr:colOff>
      <xdr:row>6</xdr:row>
      <xdr:rowOff>42545</xdr:rowOff>
    </xdr:to>
    <xdr:pic>
      <xdr:nvPicPr>
        <xdr:cNvPr id="5" name="图片 4" descr="45px-试作型彩云(舰攻型)T0"/>
        <xdr:cNvPicPr>
          <a:picLocks noChangeAspect="1"/>
        </xdr:cNvPicPr>
      </xdr:nvPicPr>
      <xdr:blipFill>
        <a:blip r:embed="rId4"/>
        <a:stretch>
          <a:fillRect/>
        </a:stretch>
      </xdr:blipFill>
      <xdr:spPr>
        <a:xfrm>
          <a:off x="299720" y="948690"/>
          <a:ext cx="179070" cy="219710"/>
        </a:xfrm>
        <a:prstGeom prst="rect">
          <a:avLst/>
        </a:prstGeom>
      </xdr:spPr>
    </xdr:pic>
    <xdr:clientData/>
  </xdr:twoCellAnchor>
  <xdr:twoCellAnchor editAs="oneCell">
    <xdr:from>
      <xdr:col>1</xdr:col>
      <xdr:colOff>10160</xdr:colOff>
      <xdr:row>6</xdr:row>
      <xdr:rowOff>8890</xdr:rowOff>
    </xdr:from>
    <xdr:to>
      <xdr:col>1</xdr:col>
      <xdr:colOff>189865</xdr:colOff>
      <xdr:row>7</xdr:row>
      <xdr:rowOff>5715</xdr:rowOff>
    </xdr:to>
    <xdr:pic>
      <xdr:nvPicPr>
        <xdr:cNvPr id="6" name="图片 5" descr="45px-试作型双联90mm高角炮Model1939T0"/>
        <xdr:cNvPicPr>
          <a:picLocks noChangeAspect="1"/>
        </xdr:cNvPicPr>
      </xdr:nvPicPr>
      <xdr:blipFill>
        <a:blip r:embed="rId5"/>
        <a:stretch>
          <a:fillRect/>
        </a:stretch>
      </xdr:blipFill>
      <xdr:spPr>
        <a:xfrm>
          <a:off x="299720" y="1134745"/>
          <a:ext cx="179705" cy="179705"/>
        </a:xfrm>
        <a:prstGeom prst="rect">
          <a:avLst/>
        </a:prstGeom>
      </xdr:spPr>
    </xdr:pic>
    <xdr:clientData/>
  </xdr:twoCellAnchor>
  <xdr:twoCellAnchor editAs="oneCell">
    <xdr:from>
      <xdr:col>1</xdr:col>
      <xdr:colOff>10160</xdr:colOff>
      <xdr:row>7</xdr:row>
      <xdr:rowOff>8890</xdr:rowOff>
    </xdr:from>
    <xdr:to>
      <xdr:col>1</xdr:col>
      <xdr:colOff>186690</xdr:colOff>
      <xdr:row>8</xdr:row>
      <xdr:rowOff>21590</xdr:rowOff>
    </xdr:to>
    <xdr:pic>
      <xdr:nvPicPr>
        <xdr:cNvPr id="7" name="图片 6" descr="45px-试作舰载型天雷T0"/>
        <xdr:cNvPicPr>
          <a:picLocks noChangeAspect="1"/>
        </xdr:cNvPicPr>
      </xdr:nvPicPr>
      <xdr:blipFill>
        <a:blip r:embed="rId6"/>
        <a:stretch>
          <a:fillRect/>
        </a:stretch>
      </xdr:blipFill>
      <xdr:spPr>
        <a:xfrm>
          <a:off x="299720" y="1317625"/>
          <a:ext cx="176530" cy="19558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ww.bilibili.com/video/bv1G3411P7hP" TargetMode="External"/><Relationship Id="rId3" Type="http://schemas.openxmlformats.org/officeDocument/2006/relationships/hyperlink" Target="https://space.bilibili.com/13704065" TargetMode="External"/><Relationship Id="rId2" Type="http://schemas.openxmlformats.org/officeDocument/2006/relationships/hyperlink" Target="https://wiki.biligame.com/blhx/%E9%A6%96%E9%A1%B5" TargetMode="External"/><Relationship Id="rId1" Type="http://schemas.openxmlformats.org/officeDocument/2006/relationships/hyperlink" Target="https://space.bilibili.com/3372851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5"/>
  <sheetViews>
    <sheetView topLeftCell="A16" workbookViewId="0">
      <selection activeCell="B32" sqref="B32"/>
    </sheetView>
  </sheetViews>
  <sheetFormatPr defaultColWidth="8.88888888888889" defaultRowHeight="14.4"/>
  <cols>
    <col min="4" max="4" width="10.2222222222222" customWidth="1"/>
    <col min="13" max="13" width="9.44444444444444" customWidth="1"/>
  </cols>
  <sheetData>
    <row r="1" ht="17.55" spans="1:1">
      <c r="A1" s="607"/>
    </row>
    <row r="2" spans="4:13">
      <c r="D2" s="608" t="s">
        <v>0</v>
      </c>
      <c r="E2" s="609"/>
      <c r="F2" s="609"/>
      <c r="G2" s="609"/>
      <c r="H2" s="609"/>
      <c r="I2" s="609"/>
      <c r="J2" s="609"/>
      <c r="K2" s="609"/>
      <c r="L2" s="609"/>
      <c r="M2" s="673"/>
    </row>
    <row r="3" spans="4:13">
      <c r="D3" s="610"/>
      <c r="E3" s="611"/>
      <c r="F3" s="611"/>
      <c r="G3" s="611"/>
      <c r="H3" s="611"/>
      <c r="I3" s="611"/>
      <c r="J3" s="611"/>
      <c r="K3" s="611"/>
      <c r="L3" s="611"/>
      <c r="M3" s="674"/>
    </row>
    <row r="4" spans="4:13">
      <c r="D4" s="612" t="s">
        <v>1</v>
      </c>
      <c r="E4" s="613"/>
      <c r="F4" s="613"/>
      <c r="G4" s="613"/>
      <c r="H4" s="613"/>
      <c r="I4" s="613"/>
      <c r="J4" s="613"/>
      <c r="K4" s="613"/>
      <c r="L4" s="675"/>
      <c r="M4" s="675"/>
    </row>
    <row r="5" spans="4:13">
      <c r="D5" s="614"/>
      <c r="E5" s="615"/>
      <c r="F5" s="615"/>
      <c r="G5" s="615"/>
      <c r="H5" s="615"/>
      <c r="I5" s="615"/>
      <c r="J5" s="615"/>
      <c r="K5" s="615"/>
      <c r="L5" s="676"/>
      <c r="M5" s="676"/>
    </row>
    <row r="6" spans="4:13">
      <c r="D6" s="616" t="s">
        <v>2</v>
      </c>
      <c r="E6" s="617"/>
      <c r="F6" s="617"/>
      <c r="G6" s="617"/>
      <c r="H6" s="617"/>
      <c r="I6" s="617"/>
      <c r="J6" s="617"/>
      <c r="K6" s="617"/>
      <c r="L6" s="617"/>
      <c r="M6" s="677"/>
    </row>
    <row r="7" spans="4:13">
      <c r="D7" s="618"/>
      <c r="E7" s="619"/>
      <c r="F7" s="619"/>
      <c r="G7" s="619"/>
      <c r="H7" s="619"/>
      <c r="I7" s="619"/>
      <c r="J7" s="619"/>
      <c r="K7" s="619"/>
      <c r="L7" s="619"/>
      <c r="M7" s="678"/>
    </row>
    <row r="8" spans="4:13">
      <c r="D8" s="618"/>
      <c r="E8" s="619"/>
      <c r="F8" s="619"/>
      <c r="G8" s="619"/>
      <c r="H8" s="619"/>
      <c r="I8" s="619"/>
      <c r="J8" s="619"/>
      <c r="K8" s="619"/>
      <c r="L8" s="619"/>
      <c r="M8" s="678"/>
    </row>
    <row r="9" spans="4:13">
      <c r="D9" s="618"/>
      <c r="E9" s="619"/>
      <c r="F9" s="619"/>
      <c r="G9" s="619"/>
      <c r="H9" s="619"/>
      <c r="I9" s="619"/>
      <c r="J9" s="619"/>
      <c r="K9" s="619"/>
      <c r="L9" s="619"/>
      <c r="M9" s="678"/>
    </row>
    <row r="10" ht="15.15" spans="4:13">
      <c r="D10" s="618"/>
      <c r="E10" s="620"/>
      <c r="F10" s="620"/>
      <c r="G10" s="620"/>
      <c r="H10" s="620"/>
      <c r="I10" s="620"/>
      <c r="J10" s="620"/>
      <c r="K10" s="620"/>
      <c r="L10" s="620"/>
      <c r="M10" s="678"/>
    </row>
    <row r="11" spans="4:13">
      <c r="D11" s="616" t="s">
        <v>3</v>
      </c>
      <c r="E11" s="617"/>
      <c r="F11" s="617"/>
      <c r="G11" s="617"/>
      <c r="H11" s="617"/>
      <c r="I11" s="617"/>
      <c r="J11" s="617"/>
      <c r="K11" s="617"/>
      <c r="L11" s="617"/>
      <c r="M11" s="677"/>
    </row>
    <row r="12" spans="4:13">
      <c r="D12" s="618"/>
      <c r="E12" s="619"/>
      <c r="F12" s="619"/>
      <c r="G12" s="619"/>
      <c r="H12" s="619"/>
      <c r="I12" s="619"/>
      <c r="J12" s="619"/>
      <c r="K12" s="619"/>
      <c r="L12" s="619"/>
      <c r="M12" s="678"/>
    </row>
    <row r="13" spans="4:13">
      <c r="D13" s="618"/>
      <c r="E13" s="619"/>
      <c r="F13" s="619"/>
      <c r="G13" s="619"/>
      <c r="H13" s="619"/>
      <c r="I13" s="619"/>
      <c r="J13" s="619"/>
      <c r="K13" s="619"/>
      <c r="L13" s="619"/>
      <c r="M13" s="678"/>
    </row>
    <row r="14" spans="4:13">
      <c r="D14" s="618"/>
      <c r="E14" s="619"/>
      <c r="F14" s="619"/>
      <c r="G14" s="619"/>
      <c r="H14" s="619"/>
      <c r="I14" s="619"/>
      <c r="J14" s="619"/>
      <c r="K14" s="619"/>
      <c r="L14" s="619"/>
      <c r="M14" s="678"/>
    </row>
    <row r="15" ht="15.15" spans="4:13">
      <c r="D15" s="621"/>
      <c r="E15" s="622"/>
      <c r="F15" s="622"/>
      <c r="G15" s="622"/>
      <c r="H15" s="622"/>
      <c r="I15" s="622"/>
      <c r="J15" s="622"/>
      <c r="K15" s="622"/>
      <c r="L15" s="622"/>
      <c r="M15" s="679"/>
    </row>
    <row r="16" spans="4:13">
      <c r="D16" s="623" t="s">
        <v>4</v>
      </c>
      <c r="E16" s="624"/>
      <c r="F16" s="624"/>
      <c r="G16" s="624"/>
      <c r="H16" s="624"/>
      <c r="I16" s="624"/>
      <c r="J16" s="624"/>
      <c r="K16" s="624"/>
      <c r="L16" s="624"/>
      <c r="M16" s="680"/>
    </row>
    <row r="17" spans="4:13">
      <c r="D17" s="625"/>
      <c r="E17" s="626"/>
      <c r="F17" s="626"/>
      <c r="G17" s="626"/>
      <c r="H17" s="626"/>
      <c r="I17" s="626"/>
      <c r="J17" s="626"/>
      <c r="K17" s="626"/>
      <c r="L17" s="626"/>
      <c r="M17" s="681"/>
    </row>
    <row r="18" ht="15.15" spans="4:13">
      <c r="D18" s="627"/>
      <c r="E18" s="628"/>
      <c r="F18" s="628"/>
      <c r="G18" s="628"/>
      <c r="H18" s="628"/>
      <c r="I18" s="628"/>
      <c r="J18" s="628"/>
      <c r="K18" s="628"/>
      <c r="L18" s="628"/>
      <c r="M18" s="682"/>
    </row>
    <row r="19" spans="4:13">
      <c r="D19" s="629" t="s">
        <v>5</v>
      </c>
      <c r="E19" s="630"/>
      <c r="F19" s="630"/>
      <c r="G19" s="630"/>
      <c r="H19" s="630"/>
      <c r="I19" s="630"/>
      <c r="J19" s="630"/>
      <c r="K19" s="630"/>
      <c r="L19" s="630"/>
      <c r="M19" s="683"/>
    </row>
    <row r="20" ht="15.15" spans="4:13">
      <c r="D20" s="631"/>
      <c r="E20" s="632"/>
      <c r="F20" s="632"/>
      <c r="G20" s="632"/>
      <c r="H20" s="632"/>
      <c r="I20" s="632"/>
      <c r="J20" s="632"/>
      <c r="K20" s="632"/>
      <c r="L20" s="632"/>
      <c r="M20" s="684"/>
    </row>
    <row r="21" spans="4:13">
      <c r="D21" s="633" t="s">
        <v>6</v>
      </c>
      <c r="E21" s="634"/>
      <c r="F21" s="634"/>
      <c r="G21" s="634"/>
      <c r="H21" s="634"/>
      <c r="I21" s="634"/>
      <c r="J21" s="634"/>
      <c r="K21" s="634"/>
      <c r="L21" s="634"/>
      <c r="M21" s="685"/>
    </row>
    <row r="22" spans="4:13">
      <c r="D22" s="635"/>
      <c r="E22" s="636"/>
      <c r="F22" s="636"/>
      <c r="G22" s="636"/>
      <c r="H22" s="636"/>
      <c r="I22" s="636"/>
      <c r="J22" s="636"/>
      <c r="K22" s="636"/>
      <c r="L22" s="636"/>
      <c r="M22" s="686"/>
    </row>
    <row r="23" spans="4:13">
      <c r="D23" s="635"/>
      <c r="E23" s="636"/>
      <c r="F23" s="636"/>
      <c r="G23" s="636"/>
      <c r="H23" s="636"/>
      <c r="I23" s="636"/>
      <c r="J23" s="636"/>
      <c r="K23" s="636"/>
      <c r="L23" s="636"/>
      <c r="M23" s="686"/>
    </row>
    <row r="24" spans="4:13">
      <c r="D24" s="635"/>
      <c r="E24" s="636"/>
      <c r="F24" s="636"/>
      <c r="G24" s="636"/>
      <c r="H24" s="636"/>
      <c r="I24" s="636"/>
      <c r="J24" s="636"/>
      <c r="K24" s="636"/>
      <c r="L24" s="636"/>
      <c r="M24" s="686"/>
    </row>
    <row r="25" spans="4:13">
      <c r="D25" s="635"/>
      <c r="E25" s="636"/>
      <c r="F25" s="636"/>
      <c r="G25" s="636"/>
      <c r="H25" s="636"/>
      <c r="I25" s="636"/>
      <c r="J25" s="636"/>
      <c r="K25" s="636"/>
      <c r="L25" s="636"/>
      <c r="M25" s="686"/>
    </row>
    <row r="26" spans="4:13">
      <c r="D26" s="637"/>
      <c r="E26" s="638"/>
      <c r="F26" s="638"/>
      <c r="G26" s="638"/>
      <c r="H26" s="638"/>
      <c r="I26" s="638"/>
      <c r="J26" s="638"/>
      <c r="K26" s="638"/>
      <c r="L26" s="638"/>
      <c r="M26" s="687"/>
    </row>
    <row r="27" spans="4:13">
      <c r="D27" s="639"/>
      <c r="E27" s="640"/>
      <c r="F27" s="640"/>
      <c r="G27" s="640"/>
      <c r="H27" s="640"/>
      <c r="I27" s="640"/>
      <c r="J27" s="640"/>
      <c r="K27" s="640"/>
      <c r="L27" s="640"/>
      <c r="M27" s="688"/>
    </row>
    <row r="28" spans="4:13">
      <c r="D28" s="639"/>
      <c r="E28" s="640"/>
      <c r="F28" s="640"/>
      <c r="G28" s="640"/>
      <c r="H28" s="640"/>
      <c r="I28" s="640"/>
      <c r="J28" s="640"/>
      <c r="K28" s="640"/>
      <c r="L28" s="640"/>
      <c r="M28" s="688"/>
    </row>
    <row r="29" spans="4:13">
      <c r="D29" s="639"/>
      <c r="E29" s="640"/>
      <c r="F29" s="640"/>
      <c r="G29" s="640"/>
      <c r="H29" s="640"/>
      <c r="I29" s="640"/>
      <c r="J29" s="640"/>
      <c r="K29" s="640"/>
      <c r="L29" s="640"/>
      <c r="M29" s="688"/>
    </row>
    <row r="30" spans="4:13">
      <c r="D30" s="641"/>
      <c r="E30" s="642"/>
      <c r="F30" s="642"/>
      <c r="G30" s="642"/>
      <c r="H30" s="642"/>
      <c r="I30" s="642"/>
      <c r="J30" s="642"/>
      <c r="K30" s="642"/>
      <c r="L30" s="642"/>
      <c r="M30" s="689"/>
    </row>
    <row r="31" spans="4:13">
      <c r="D31" s="618" t="s">
        <v>7</v>
      </c>
      <c r="E31" s="619"/>
      <c r="F31" s="619"/>
      <c r="G31" s="619"/>
      <c r="H31" s="619"/>
      <c r="I31" s="619"/>
      <c r="J31" s="619"/>
      <c r="K31" s="619"/>
      <c r="L31" s="619"/>
      <c r="M31" s="678"/>
    </row>
    <row r="32" spans="4:13">
      <c r="D32" s="618"/>
      <c r="E32" s="619"/>
      <c r="F32" s="619"/>
      <c r="G32" s="619"/>
      <c r="H32" s="619"/>
      <c r="I32" s="619"/>
      <c r="J32" s="619"/>
      <c r="K32" s="619"/>
      <c r="L32" s="619"/>
      <c r="M32" s="678"/>
    </row>
    <row r="33" spans="4:13">
      <c r="D33" s="618"/>
      <c r="E33" s="619"/>
      <c r="F33" s="619"/>
      <c r="G33" s="619"/>
      <c r="H33" s="619"/>
      <c r="I33" s="619"/>
      <c r="J33" s="619"/>
      <c r="K33" s="619"/>
      <c r="L33" s="619"/>
      <c r="M33" s="678"/>
    </row>
    <row r="34" ht="15.15" spans="4:13">
      <c r="D34" s="618"/>
      <c r="E34" s="619"/>
      <c r="F34" s="619"/>
      <c r="G34" s="619"/>
      <c r="H34" s="619"/>
      <c r="I34" s="619"/>
      <c r="J34" s="619"/>
      <c r="K34" s="619"/>
      <c r="L34" s="619"/>
      <c r="M34" s="678"/>
    </row>
    <row r="35" ht="14" customHeight="1" spans="4:13">
      <c r="D35" s="643" t="s">
        <v>8</v>
      </c>
      <c r="E35" s="644"/>
      <c r="F35" s="644"/>
      <c r="G35" s="644"/>
      <c r="H35" s="644"/>
      <c r="I35" s="644"/>
      <c r="J35" s="644"/>
      <c r="K35" s="644"/>
      <c r="L35" s="644"/>
      <c r="M35" s="690"/>
    </row>
    <row r="36" ht="15.15" spans="4:13">
      <c r="D36" s="645"/>
      <c r="E36" s="646"/>
      <c r="F36" s="646"/>
      <c r="G36" s="646"/>
      <c r="H36" s="646"/>
      <c r="I36" s="646"/>
      <c r="J36" s="646"/>
      <c r="K36" s="646"/>
      <c r="L36" s="646"/>
      <c r="M36" s="691"/>
    </row>
    <row r="37" ht="15" customHeight="1" spans="4:13">
      <c r="D37" s="647" t="s">
        <v>9</v>
      </c>
      <c r="E37" s="648"/>
      <c r="F37" s="648"/>
      <c r="G37" s="648"/>
      <c r="H37" s="648"/>
      <c r="I37" s="648"/>
      <c r="J37" s="648"/>
      <c r="K37" s="648"/>
      <c r="L37" s="648"/>
      <c r="M37" s="692"/>
    </row>
    <row r="38" ht="15.15" spans="4:13">
      <c r="D38" s="649"/>
      <c r="E38" s="650"/>
      <c r="F38" s="650"/>
      <c r="G38" s="650"/>
      <c r="H38" s="650"/>
      <c r="I38" s="650"/>
      <c r="J38" s="650"/>
      <c r="K38" s="650"/>
      <c r="L38" s="650"/>
      <c r="M38" s="693"/>
    </row>
    <row r="39" spans="4:13">
      <c r="D39" s="651" t="s">
        <v>10</v>
      </c>
      <c r="E39" s="652"/>
      <c r="F39" s="652"/>
      <c r="G39" s="652"/>
      <c r="H39" s="652"/>
      <c r="I39" s="652"/>
      <c r="J39" s="652"/>
      <c r="K39" s="652"/>
      <c r="L39" s="652"/>
      <c r="M39" s="694"/>
    </row>
    <row r="40" ht="15.15" spans="4:13">
      <c r="D40" s="653"/>
      <c r="E40" s="654"/>
      <c r="F40" s="654"/>
      <c r="G40" s="654"/>
      <c r="H40" s="654"/>
      <c r="I40" s="654"/>
      <c r="J40" s="654"/>
      <c r="K40" s="654"/>
      <c r="L40" s="654"/>
      <c r="M40" s="695"/>
    </row>
    <row r="41" spans="4:13">
      <c r="D41" s="655" t="s">
        <v>11</v>
      </c>
      <c r="E41" s="656"/>
      <c r="F41" s="656"/>
      <c r="G41" s="656"/>
      <c r="H41" s="656"/>
      <c r="I41" s="656"/>
      <c r="J41" s="656"/>
      <c r="K41" s="656"/>
      <c r="L41" s="656"/>
      <c r="M41" s="696"/>
    </row>
    <row r="42" ht="32" customHeight="1" spans="4:13">
      <c r="D42" s="657"/>
      <c r="E42" s="658"/>
      <c r="F42" s="658"/>
      <c r="G42" s="658"/>
      <c r="H42" s="658"/>
      <c r="I42" s="658"/>
      <c r="J42" s="658"/>
      <c r="K42" s="658"/>
      <c r="L42" s="658"/>
      <c r="M42" s="697"/>
    </row>
    <row r="44" ht="15.15"/>
    <row r="45" spans="2:16">
      <c r="B45" s="659" t="s">
        <v>12</v>
      </c>
      <c r="C45" s="660"/>
      <c r="D45" s="661"/>
      <c r="E45" s="662" t="s">
        <v>13</v>
      </c>
      <c r="F45" s="660"/>
      <c r="G45" s="661"/>
      <c r="H45" s="662" t="s">
        <v>14</v>
      </c>
      <c r="I45" s="660"/>
      <c r="J45" s="661"/>
      <c r="K45" s="662" t="s">
        <v>15</v>
      </c>
      <c r="L45" s="660"/>
      <c r="M45" s="661"/>
      <c r="N45" s="662" t="s">
        <v>16</v>
      </c>
      <c r="O45" s="660"/>
      <c r="P45" s="698"/>
    </row>
    <row r="46" spans="2:16">
      <c r="B46" s="663" t="s">
        <v>17</v>
      </c>
      <c r="C46" s="664"/>
      <c r="D46" s="665">
        <v>70</v>
      </c>
      <c r="E46" s="497" t="s">
        <v>18</v>
      </c>
      <c r="F46" s="497"/>
      <c r="G46" s="665">
        <v>200</v>
      </c>
      <c r="H46" s="666" t="s">
        <v>19</v>
      </c>
      <c r="I46" s="664"/>
      <c r="J46" s="665" t="s">
        <v>20</v>
      </c>
      <c r="K46" s="666" t="s">
        <v>21</v>
      </c>
      <c r="L46" s="664"/>
      <c r="M46" s="665">
        <v>12</v>
      </c>
      <c r="N46" s="666" t="s">
        <v>22</v>
      </c>
      <c r="O46" s="664"/>
      <c r="P46" s="699">
        <v>0</v>
      </c>
    </row>
    <row r="47" spans="2:16">
      <c r="B47" s="663" t="s">
        <v>23</v>
      </c>
      <c r="C47" s="664"/>
      <c r="D47" s="665">
        <v>0</v>
      </c>
      <c r="E47" s="497" t="s">
        <v>24</v>
      </c>
      <c r="F47" s="497"/>
      <c r="G47" s="665">
        <v>130</v>
      </c>
      <c r="H47" s="666" t="s">
        <v>25</v>
      </c>
      <c r="I47" s="664"/>
      <c r="J47" s="665">
        <v>6</v>
      </c>
      <c r="K47" s="666" t="s">
        <v>26</v>
      </c>
      <c r="L47" s="664"/>
      <c r="M47" s="665">
        <v>8</v>
      </c>
      <c r="N47" s="666" t="s">
        <v>27</v>
      </c>
      <c r="O47" s="664"/>
      <c r="P47" s="699">
        <v>20</v>
      </c>
    </row>
    <row r="48" spans="2:16">
      <c r="B48" s="663" t="s">
        <v>28</v>
      </c>
      <c r="C48" s="664"/>
      <c r="D48" s="665">
        <v>20</v>
      </c>
      <c r="E48" s="666" t="s">
        <v>29</v>
      </c>
      <c r="F48" s="664"/>
      <c r="G48" s="665" t="s">
        <v>30</v>
      </c>
      <c r="H48" s="666" t="s">
        <v>31</v>
      </c>
      <c r="I48" s="664"/>
      <c r="J48" s="665">
        <v>2</v>
      </c>
      <c r="K48" s="666" t="s">
        <v>32</v>
      </c>
      <c r="L48" s="664"/>
      <c r="M48" s="665">
        <v>20</v>
      </c>
      <c r="N48" s="666" t="s">
        <v>33</v>
      </c>
      <c r="O48" s="664"/>
      <c r="P48" s="699">
        <v>100</v>
      </c>
    </row>
    <row r="49" spans="2:16">
      <c r="B49" s="663" t="s">
        <v>34</v>
      </c>
      <c r="C49" s="664"/>
      <c r="D49" s="665">
        <v>60</v>
      </c>
      <c r="E49" s="497" t="s">
        <v>35</v>
      </c>
      <c r="F49" s="497"/>
      <c r="G49" s="665">
        <v>30</v>
      </c>
      <c r="H49" s="666" t="s">
        <v>36</v>
      </c>
      <c r="I49" s="664"/>
      <c r="J49" s="665">
        <v>1</v>
      </c>
      <c r="K49" s="666" t="s">
        <v>37</v>
      </c>
      <c r="L49" s="664"/>
      <c r="M49" s="665">
        <v>80</v>
      </c>
      <c r="N49" s="666" t="s">
        <v>38</v>
      </c>
      <c r="O49" s="664"/>
      <c r="P49" s="700" t="s">
        <v>39</v>
      </c>
    </row>
    <row r="50" ht="15.15" spans="2:16">
      <c r="B50" s="667" t="s">
        <v>40</v>
      </c>
      <c r="C50" s="668"/>
      <c r="D50" s="669">
        <v>50</v>
      </c>
      <c r="E50" s="506" t="s">
        <v>41</v>
      </c>
      <c r="F50" s="506"/>
      <c r="G50" s="669">
        <v>0</v>
      </c>
      <c r="H50" s="670"/>
      <c r="I50" s="668"/>
      <c r="J50" s="669"/>
      <c r="K50" s="670" t="s">
        <v>42</v>
      </c>
      <c r="L50" s="668"/>
      <c r="M50" s="669" t="s">
        <v>43</v>
      </c>
      <c r="N50" s="670"/>
      <c r="O50" s="668"/>
      <c r="P50" s="701"/>
    </row>
    <row r="51" ht="15.15" spans="2:16">
      <c r="B51" s="671" t="s">
        <v>44</v>
      </c>
      <c r="C51" s="672"/>
      <c r="D51" s="672"/>
      <c r="E51" s="672"/>
      <c r="F51" s="672"/>
      <c r="G51" s="672"/>
      <c r="H51" s="672"/>
      <c r="I51" s="672"/>
      <c r="J51" s="672"/>
      <c r="K51" s="672"/>
      <c r="L51" s="672"/>
      <c r="M51" s="672"/>
      <c r="N51" s="672"/>
      <c r="O51" s="672"/>
      <c r="P51" s="702"/>
    </row>
    <row r="62" spans="2:2">
      <c r="B62" s="31"/>
    </row>
    <row r="63" spans="2:3">
      <c r="B63" s="31"/>
      <c r="C63" s="31"/>
    </row>
    <row r="64" spans="2:3">
      <c r="B64" s="31"/>
      <c r="C64" s="31"/>
    </row>
    <row r="65" spans="3:3">
      <c r="C65" s="31"/>
    </row>
  </sheetData>
  <mergeCells count="43">
    <mergeCell ref="B45:D45"/>
    <mergeCell ref="E45:G45"/>
    <mergeCell ref="H45:J45"/>
    <mergeCell ref="K45:M45"/>
    <mergeCell ref="N45:P45"/>
    <mergeCell ref="B46:C46"/>
    <mergeCell ref="E46:F46"/>
    <mergeCell ref="H46:I46"/>
    <mergeCell ref="K46:L46"/>
    <mergeCell ref="N46:O46"/>
    <mergeCell ref="B47:C47"/>
    <mergeCell ref="E47:F47"/>
    <mergeCell ref="H47:I47"/>
    <mergeCell ref="K47:L47"/>
    <mergeCell ref="N47:O47"/>
    <mergeCell ref="B48:C48"/>
    <mergeCell ref="E48:F48"/>
    <mergeCell ref="H48:I48"/>
    <mergeCell ref="K48:L48"/>
    <mergeCell ref="N48:O48"/>
    <mergeCell ref="B49:C49"/>
    <mergeCell ref="E49:F49"/>
    <mergeCell ref="H49:I49"/>
    <mergeCell ref="K49:L49"/>
    <mergeCell ref="N49:O49"/>
    <mergeCell ref="B50:C50"/>
    <mergeCell ref="E50:F50"/>
    <mergeCell ref="H50:I50"/>
    <mergeCell ref="K50:L50"/>
    <mergeCell ref="N50:O50"/>
    <mergeCell ref="B51:P51"/>
    <mergeCell ref="D2:M3"/>
    <mergeCell ref="D6:M10"/>
    <mergeCell ref="D4:M5"/>
    <mergeCell ref="D16:M18"/>
    <mergeCell ref="D19:M20"/>
    <mergeCell ref="D11:M15"/>
    <mergeCell ref="D35:M36"/>
    <mergeCell ref="D37:M38"/>
    <mergeCell ref="D39:M40"/>
    <mergeCell ref="D41:M42"/>
    <mergeCell ref="D31:M34"/>
    <mergeCell ref="D21:M30"/>
  </mergeCells>
  <hyperlinks>
    <hyperlink ref="D37:M37" r:id="rId1" display="表格作者：天谴之羊（这是pvzup别看了）"/>
    <hyperlink ref="D39:M40" r:id="rId2" display="更多攻略，尽在碧蓝航线wiki"/>
    <hyperlink ref="D41:M42" r:id="rId3" display="使用了@負けん気な瞳的的科研测试数据作为模拟科研的数据支撑&#10;"/>
    <hyperlink ref="D4:L5" location="'倾向-优先级表'!A1" display="点击查看本表格填写的视频介绍"/>
    <hyperlink ref="D19:M20" location="表格使用说明!A50" display="表格使用说明下方有对倾向填写的较具体参考数值"/>
    <hyperlink ref="D4:M5" r:id="rId4" display="点击查看本表格填写的视频介绍"/>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4"/>
  <sheetViews>
    <sheetView zoomScale="80" zoomScaleNormal="80" topLeftCell="A2" workbookViewId="0">
      <selection activeCell="Q29" sqref="Q29:R30"/>
    </sheetView>
  </sheetViews>
  <sheetFormatPr defaultColWidth="8.88888888888889" defaultRowHeight="14.4"/>
  <cols>
    <col min="1" max="1" width="3.88888888888889" customWidth="1"/>
    <col min="2" max="2" width="11.9444444444444" customWidth="1"/>
    <col min="3" max="3" width="9.77777777777778" customWidth="1"/>
    <col min="4" max="4" width="10.2777777777778" customWidth="1"/>
    <col min="5" max="5" width="12.2222222222222" customWidth="1"/>
    <col min="6" max="6" width="10.8888888888889" customWidth="1"/>
    <col min="7" max="7" width="10.2777777777778" customWidth="1"/>
    <col min="8" max="8" width="8.23148148148148" customWidth="1"/>
    <col min="9" max="9" width="7.88888888888889" customWidth="1"/>
    <col min="10" max="10" width="9.11111111111111" customWidth="1"/>
    <col min="11" max="11" width="9.72222222222222" customWidth="1"/>
    <col min="12" max="12" width="9.02777777777778" customWidth="1"/>
    <col min="13" max="13" width="9.77777777777778" customWidth="1"/>
    <col min="14" max="14" width="10.8888888888889" customWidth="1"/>
    <col min="15" max="15" width="9.88888888888889" customWidth="1"/>
    <col min="16" max="16" width="10.2222222222222" customWidth="1"/>
    <col min="17" max="17" width="16.8888888888889" customWidth="1"/>
    <col min="18" max="18" width="8.88888888888889" customWidth="1"/>
    <col min="19" max="19" width="11.8055555555556" customWidth="1"/>
    <col min="23" max="23" width="15.4444444444444" customWidth="1"/>
  </cols>
  <sheetData>
    <row r="1" ht="16.35" spans="1:28">
      <c r="A1" s="359"/>
      <c r="B1" s="360" t="s">
        <v>45</v>
      </c>
      <c r="C1" s="361"/>
      <c r="D1" s="359"/>
      <c r="E1" s="359"/>
      <c r="F1" s="359"/>
      <c r="G1" s="359"/>
      <c r="H1" s="359"/>
      <c r="I1" s="359"/>
      <c r="J1" s="359"/>
      <c r="K1" s="359"/>
      <c r="L1" s="359"/>
      <c r="M1" s="359"/>
      <c r="N1" s="359"/>
      <c r="O1" s="359"/>
      <c r="P1" s="359"/>
      <c r="Q1" s="359"/>
      <c r="R1" s="359"/>
      <c r="S1" s="359"/>
      <c r="T1" s="359"/>
      <c r="U1" s="359"/>
      <c r="V1" s="359"/>
      <c r="W1" s="364"/>
      <c r="X1" s="364"/>
      <c r="Y1" s="364"/>
      <c r="Z1" s="364"/>
      <c r="AA1" s="364"/>
      <c r="AB1" s="364"/>
    </row>
    <row r="2" ht="22.95" spans="1:28">
      <c r="A2" s="359"/>
      <c r="B2" s="362"/>
      <c r="C2" s="363"/>
      <c r="D2" s="364"/>
      <c r="E2" s="365" t="s">
        <v>46</v>
      </c>
      <c r="F2" s="366"/>
      <c r="G2" s="366"/>
      <c r="H2" s="366"/>
      <c r="I2" s="366"/>
      <c r="J2" s="366"/>
      <c r="K2" s="366"/>
      <c r="L2" s="366"/>
      <c r="M2" s="366"/>
      <c r="N2" s="465"/>
      <c r="O2" s="466"/>
      <c r="P2" s="466"/>
      <c r="Q2" s="516" t="s">
        <v>47</v>
      </c>
      <c r="R2" s="517"/>
      <c r="S2" s="518"/>
      <c r="T2" s="359"/>
      <c r="U2" s="359"/>
      <c r="V2" s="359"/>
      <c r="W2" s="359"/>
      <c r="X2" s="359"/>
      <c r="Y2" s="359"/>
      <c r="Z2" s="359"/>
      <c r="AA2" s="359"/>
      <c r="AB2" s="359"/>
    </row>
    <row r="3" ht="22.95" spans="1:28">
      <c r="A3" s="359"/>
      <c r="B3" s="359"/>
      <c r="C3" s="359"/>
      <c r="D3" s="359"/>
      <c r="E3" s="367"/>
      <c r="F3" s="368"/>
      <c r="G3" s="368"/>
      <c r="H3" s="368"/>
      <c r="I3" s="368"/>
      <c r="J3" s="368"/>
      <c r="K3" s="368"/>
      <c r="L3" s="368"/>
      <c r="M3" s="368"/>
      <c r="N3" s="467"/>
      <c r="O3" s="466"/>
      <c r="P3" s="257"/>
      <c r="Q3" s="519"/>
      <c r="R3" s="520"/>
      <c r="S3" s="521"/>
      <c r="T3" s="359"/>
      <c r="U3" s="359"/>
      <c r="V3" s="359"/>
      <c r="W3" s="359"/>
      <c r="X3" s="359"/>
      <c r="Y3" s="359"/>
      <c r="Z3" s="359"/>
      <c r="AA3" s="359"/>
      <c r="AB3" s="359"/>
    </row>
    <row r="4" ht="22.2" spans="1:28">
      <c r="A4" s="369"/>
      <c r="B4" t="s">
        <v>48</v>
      </c>
      <c r="C4" s="257"/>
      <c r="D4" s="257"/>
      <c r="E4" s="257"/>
      <c r="G4" s="370"/>
      <c r="H4" s="370"/>
      <c r="I4" s="370"/>
      <c r="J4" s="370"/>
      <c r="K4" s="370"/>
      <c r="L4" s="370"/>
      <c r="M4" s="370"/>
      <c r="N4" s="370"/>
      <c r="O4" s="468"/>
      <c r="P4" s="257"/>
      <c r="Q4" s="257"/>
      <c r="R4" s="257"/>
      <c r="S4" s="257"/>
      <c r="T4" s="359"/>
      <c r="U4" s="359"/>
      <c r="V4" s="359"/>
      <c r="W4" s="359"/>
      <c r="X4" s="359"/>
      <c r="Y4" s="359"/>
      <c r="Z4" s="359"/>
      <c r="AA4" s="359"/>
      <c r="AB4" s="359"/>
    </row>
    <row r="5" ht="21" customHeight="1" spans="1:28">
      <c r="A5" s="369"/>
      <c r="B5" s="257"/>
      <c r="C5" s="371" t="str">
        <f>IF(D8&gt;3,"4期金船一共只有3艘哦","")</f>
        <v/>
      </c>
      <c r="D5" s="371"/>
      <c r="E5" s="371"/>
      <c r="F5" s="372" t="str">
        <f>IF(G8&gt;2,"4期彩船一共只有2艘哦","")</f>
        <v/>
      </c>
      <c r="G5" s="372"/>
      <c r="H5" s="372"/>
      <c r="I5" s="372"/>
      <c r="J5" s="372" t="str">
        <f>IF(K8&gt;11,"2/3期科研船一共只有11艘哦","")</f>
        <v/>
      </c>
      <c r="K5" s="372"/>
      <c r="L5" s="372"/>
      <c r="M5" s="372"/>
      <c r="N5" s="468"/>
      <c r="O5" s="468"/>
      <c r="P5" s="257"/>
      <c r="Q5" s="257"/>
      <c r="R5" s="468"/>
      <c r="S5" s="359"/>
      <c r="T5" s="359"/>
      <c r="U5" s="359"/>
      <c r="V5" s="359"/>
      <c r="W5" s="359"/>
      <c r="X5" s="359"/>
      <c r="Y5" s="359"/>
      <c r="Z5" s="359"/>
      <c r="AA5" s="359"/>
      <c r="AB5" s="359"/>
    </row>
    <row r="6" ht="17" customHeight="1" spans="1:28">
      <c r="A6" s="369"/>
      <c r="B6" s="373" t="s">
        <v>49</v>
      </c>
      <c r="C6" s="374"/>
      <c r="D6" s="375">
        <v>139.11</v>
      </c>
      <c r="E6" s="376" t="s">
        <v>50</v>
      </c>
      <c r="F6" s="377"/>
      <c r="G6" s="378">
        <f>白天模拟!AB28</f>
        <v>139.105120542631</v>
      </c>
      <c r="H6" s="1" t="s">
        <v>51</v>
      </c>
      <c r="I6" s="160"/>
      <c r="J6" s="160"/>
      <c r="K6" s="160"/>
      <c r="L6" s="160"/>
      <c r="M6" s="160"/>
      <c r="N6" s="469" t="s">
        <v>52</v>
      </c>
      <c r="O6" s="470"/>
      <c r="P6" s="471">
        <f>100*(H29*M117+K117*H30+J117*H31+H32*L117)/(24*F115+D31*H117+I117*D32)</f>
        <v>118.480955686693</v>
      </c>
      <c r="Q6" s="470"/>
      <c r="R6" s="522" t="s">
        <v>53</v>
      </c>
      <c r="S6" s="523"/>
      <c r="T6" s="359"/>
      <c r="U6" s="359"/>
      <c r="V6" s="359"/>
      <c r="W6" s="359"/>
      <c r="X6" s="359"/>
      <c r="Y6" s="359"/>
      <c r="Z6" s="359"/>
      <c r="AA6" s="359"/>
      <c r="AB6" s="359"/>
    </row>
    <row r="7" ht="17" customHeight="1" spans="1:28">
      <c r="A7" s="369"/>
      <c r="B7" s="379" t="s">
        <v>54</v>
      </c>
      <c r="C7" s="380"/>
      <c r="D7" s="375">
        <v>52.86</v>
      </c>
      <c r="E7" s="381" t="s">
        <v>50</v>
      </c>
      <c r="F7" s="382"/>
      <c r="G7" s="383">
        <f>夜晚模拟!AB28</f>
        <v>52.859954676419</v>
      </c>
      <c r="H7" s="384" t="s">
        <v>51</v>
      </c>
      <c r="I7" s="472"/>
      <c r="J7" s="472"/>
      <c r="K7" s="472"/>
      <c r="L7" s="472"/>
      <c r="M7" s="472"/>
      <c r="N7" s="469" t="s">
        <v>55</v>
      </c>
      <c r="O7" s="471"/>
      <c r="P7" s="471"/>
      <c r="Q7" s="470"/>
      <c r="R7" s="524"/>
      <c r="S7" s="525"/>
      <c r="T7" s="359"/>
      <c r="U7" s="359"/>
      <c r="V7" s="359"/>
      <c r="W7" s="359"/>
      <c r="X7" s="359"/>
      <c r="Y7" s="359"/>
      <c r="Z7" s="359"/>
      <c r="AA7" s="359"/>
      <c r="AB7" s="359"/>
    </row>
    <row r="8" ht="16" customHeight="1" spans="1:28">
      <c r="A8" s="369"/>
      <c r="B8" s="385" t="s">
        <v>56</v>
      </c>
      <c r="C8" s="386"/>
      <c r="D8" s="387">
        <v>3</v>
      </c>
      <c r="E8" s="160" t="s">
        <v>57</v>
      </c>
      <c r="F8" s="160"/>
      <c r="G8" s="388">
        <v>2</v>
      </c>
      <c r="H8" s="160" t="s">
        <v>58</v>
      </c>
      <c r="I8" s="160"/>
      <c r="J8" s="160"/>
      <c r="K8" s="387">
        <v>2</v>
      </c>
      <c r="L8" s="473" t="s">
        <v>59</v>
      </c>
      <c r="M8" s="473"/>
      <c r="N8" s="473"/>
      <c r="O8" s="473"/>
      <c r="P8" s="473"/>
      <c r="Q8" s="374"/>
      <c r="R8" s="524"/>
      <c r="S8" s="525"/>
      <c r="T8" s="359"/>
      <c r="U8" s="359"/>
      <c r="V8" s="359"/>
      <c r="W8" s="359"/>
      <c r="X8" s="359"/>
      <c r="Y8" s="359"/>
      <c r="Z8" s="359"/>
      <c r="AA8" s="359"/>
      <c r="AB8" s="359"/>
    </row>
    <row r="9" ht="16.35" spans="1:28">
      <c r="A9" s="359"/>
      <c r="B9" s="1" t="s">
        <v>60</v>
      </c>
      <c r="C9" s="2"/>
      <c r="D9" s="389">
        <v>0</v>
      </c>
      <c r="E9" s="390" t="s">
        <v>61</v>
      </c>
      <c r="F9" s="391"/>
      <c r="G9" s="391"/>
      <c r="H9" s="391"/>
      <c r="I9" s="391"/>
      <c r="J9" s="391"/>
      <c r="K9" s="391"/>
      <c r="L9" s="391"/>
      <c r="M9" s="391"/>
      <c r="N9" s="391"/>
      <c r="O9" s="391"/>
      <c r="P9" s="391"/>
      <c r="Q9" s="526"/>
      <c r="R9" s="524"/>
      <c r="S9" s="525"/>
      <c r="T9" s="359"/>
      <c r="U9" s="359"/>
      <c r="V9" s="359"/>
      <c r="W9" s="359"/>
      <c r="X9" s="359"/>
      <c r="Y9" s="359"/>
      <c r="Z9" s="359"/>
      <c r="AA9" s="359"/>
      <c r="AB9" s="359"/>
    </row>
    <row r="10" ht="16.35" spans="1:28">
      <c r="A10" s="359"/>
      <c r="B10" s="392" t="s">
        <v>62</v>
      </c>
      <c r="C10" s="393"/>
      <c r="D10" s="389">
        <v>80</v>
      </c>
      <c r="E10" s="394" t="s">
        <v>63</v>
      </c>
      <c r="F10" s="395"/>
      <c r="G10" s="395"/>
      <c r="H10" s="395"/>
      <c r="I10" s="395"/>
      <c r="J10" s="395"/>
      <c r="K10" s="395"/>
      <c r="L10" s="395"/>
      <c r="M10" s="395"/>
      <c r="N10" s="395"/>
      <c r="O10" s="395"/>
      <c r="P10" s="395"/>
      <c r="Q10" s="527"/>
      <c r="R10" s="524"/>
      <c r="S10" s="525"/>
      <c r="T10" s="257"/>
      <c r="U10" s="257"/>
      <c r="V10" s="257"/>
      <c r="W10" s="257"/>
      <c r="X10" s="359"/>
      <c r="Y10" s="359"/>
      <c r="Z10" s="359"/>
      <c r="AA10" s="359"/>
      <c r="AB10" s="359"/>
    </row>
    <row r="11" ht="16.35" spans="1:28">
      <c r="A11" s="359"/>
      <c r="B11" s="396" t="s">
        <v>16</v>
      </c>
      <c r="C11" s="397"/>
      <c r="D11" s="389">
        <v>20</v>
      </c>
      <c r="E11" s="398" t="s">
        <v>64</v>
      </c>
      <c r="F11" s="399"/>
      <c r="G11" s="399"/>
      <c r="H11" s="399"/>
      <c r="I11" s="399"/>
      <c r="J11" s="399"/>
      <c r="K11" s="399"/>
      <c r="L11" s="399"/>
      <c r="M11" s="399"/>
      <c r="N11" s="399"/>
      <c r="O11" s="399"/>
      <c r="P11" s="399"/>
      <c r="Q11" s="528"/>
      <c r="R11" s="524"/>
      <c r="S11" s="525"/>
      <c r="T11" s="257"/>
      <c r="U11" s="257"/>
      <c r="V11" s="257"/>
      <c r="W11" s="257"/>
      <c r="X11" s="359"/>
      <c r="Y11" s="359"/>
      <c r="Z11" s="359"/>
      <c r="AA11" s="359"/>
      <c r="AB11" s="359"/>
    </row>
    <row r="12" ht="16.35" spans="1:28">
      <c r="A12" s="359"/>
      <c r="B12" s="400" t="s">
        <v>65</v>
      </c>
      <c r="C12" s="401"/>
      <c r="D12" s="402">
        <v>15</v>
      </c>
      <c r="E12" s="403" t="s">
        <v>66</v>
      </c>
      <c r="F12" s="404" t="s">
        <v>67</v>
      </c>
      <c r="G12" s="405"/>
      <c r="H12" s="405"/>
      <c r="I12" s="405"/>
      <c r="J12" s="405"/>
      <c r="K12" s="405"/>
      <c r="L12" s="405"/>
      <c r="M12" s="405"/>
      <c r="N12" s="405"/>
      <c r="O12" s="405"/>
      <c r="P12" s="405"/>
      <c r="Q12" s="529"/>
      <c r="R12" s="524"/>
      <c r="S12" s="525"/>
      <c r="T12" s="257"/>
      <c r="U12" s="257"/>
      <c r="V12" s="257"/>
      <c r="W12" s="257"/>
      <c r="X12" s="359"/>
      <c r="Y12" s="359"/>
      <c r="Z12" s="359"/>
      <c r="AA12" s="359"/>
      <c r="AB12" s="359"/>
    </row>
    <row r="13" ht="16.35" spans="1:28">
      <c r="A13" s="359"/>
      <c r="B13" s="406" t="s">
        <v>68</v>
      </c>
      <c r="C13" s="407"/>
      <c r="D13" s="408">
        <v>2</v>
      </c>
      <c r="E13" s="409" t="s">
        <v>69</v>
      </c>
      <c r="F13" s="410" t="s">
        <v>70</v>
      </c>
      <c r="G13" s="411"/>
      <c r="H13" s="412"/>
      <c r="I13" s="402">
        <v>16</v>
      </c>
      <c r="J13" s="474" t="s">
        <v>71</v>
      </c>
      <c r="K13" s="475" t="s">
        <v>72</v>
      </c>
      <c r="L13" s="476"/>
      <c r="M13" s="476"/>
      <c r="N13" s="476"/>
      <c r="O13" s="476"/>
      <c r="P13" s="476"/>
      <c r="Q13" s="530"/>
      <c r="R13" s="524"/>
      <c r="S13" s="525"/>
      <c r="T13" s="257"/>
      <c r="U13" s="257"/>
      <c r="V13" s="257"/>
      <c r="W13" s="257"/>
      <c r="X13" s="359"/>
      <c r="Y13" s="359"/>
      <c r="Z13" s="359"/>
      <c r="AA13" s="359"/>
      <c r="AB13" s="359"/>
    </row>
    <row r="14" ht="16.35" spans="1:28">
      <c r="A14" s="359"/>
      <c r="B14" s="413" t="s">
        <v>73</v>
      </c>
      <c r="C14" s="414"/>
      <c r="D14" s="402">
        <v>40</v>
      </c>
      <c r="E14" s="415" t="s">
        <v>74</v>
      </c>
      <c r="F14" s="416" t="s">
        <v>75</v>
      </c>
      <c r="G14" s="417"/>
      <c r="H14" s="418">
        <v>12</v>
      </c>
      <c r="I14" s="477" t="s">
        <v>76</v>
      </c>
      <c r="J14" s="478"/>
      <c r="K14" s="479" t="s">
        <v>77</v>
      </c>
      <c r="L14" s="480"/>
      <c r="M14" s="481">
        <v>14</v>
      </c>
      <c r="N14" s="482" t="s">
        <v>76</v>
      </c>
      <c r="O14" s="483"/>
      <c r="P14" s="483"/>
      <c r="Q14" s="531"/>
      <c r="R14" s="532"/>
      <c r="S14" s="533"/>
      <c r="T14" s="257"/>
      <c r="U14" s="257"/>
      <c r="V14" s="257"/>
      <c r="W14" s="257"/>
      <c r="X14" s="359"/>
      <c r="Y14" s="359"/>
      <c r="Z14" s="359"/>
      <c r="AA14" s="359"/>
      <c r="AB14" s="359"/>
    </row>
    <row r="15" ht="16.35" spans="1:27">
      <c r="A15" s="359"/>
      <c r="B15" s="419" t="s">
        <v>78</v>
      </c>
      <c r="C15" s="420" t="s">
        <v>79</v>
      </c>
      <c r="D15" s="282" t="s">
        <v>80</v>
      </c>
      <c r="E15" s="282"/>
      <c r="F15" s="421" t="s">
        <v>81</v>
      </c>
      <c r="G15" s="420" t="s">
        <v>79</v>
      </c>
      <c r="H15" s="282" t="s">
        <v>80</v>
      </c>
      <c r="I15" s="282"/>
      <c r="J15" s="421" t="s">
        <v>81</v>
      </c>
      <c r="K15" s="484" t="s">
        <v>82</v>
      </c>
      <c r="L15" s="420" t="s">
        <v>79</v>
      </c>
      <c r="M15" s="282" t="s">
        <v>80</v>
      </c>
      <c r="N15" s="282"/>
      <c r="O15" s="421" t="s">
        <v>81</v>
      </c>
      <c r="P15" s="420" t="s">
        <v>79</v>
      </c>
      <c r="Q15" s="282" t="s">
        <v>80</v>
      </c>
      <c r="R15" s="421" t="s">
        <v>81</v>
      </c>
      <c r="S15" s="257"/>
      <c r="T15" s="257"/>
      <c r="U15" s="257"/>
      <c r="V15" s="257"/>
      <c r="W15" s="359"/>
      <c r="X15" s="359"/>
      <c r="Y15" s="359"/>
      <c r="Z15" s="359"/>
      <c r="AA15" s="359"/>
    </row>
    <row r="16" ht="15.6" spans="1:27">
      <c r="A16" s="359"/>
      <c r="B16" s="422"/>
      <c r="C16" s="423">
        <v>1</v>
      </c>
      <c r="D16" s="424" t="str">
        <f>VLOOKUP(1,数据表!A1:B26,2,0)</f>
        <v>舰装解析0.5h</v>
      </c>
      <c r="E16" s="424"/>
      <c r="F16" s="425" t="str">
        <f>IF(C16&gt;H14,"是","否")</f>
        <v>否</v>
      </c>
      <c r="G16" s="423">
        <v>14</v>
      </c>
      <c r="H16" s="424" t="str">
        <f>VLOOKUP(14,数据表!A1:B26,2,0)</f>
        <v>金数据收集4h</v>
      </c>
      <c r="I16" s="424"/>
      <c r="J16" s="425" t="str">
        <f>IF(G16&gt;H14,"是","否")</f>
        <v>是</v>
      </c>
      <c r="K16" s="485"/>
      <c r="L16" s="423">
        <v>1</v>
      </c>
      <c r="M16" s="424" t="str">
        <f>VLOOKUP(1,数据表!C1:D26,2,0)</f>
        <v>舰装解析0.5h</v>
      </c>
      <c r="N16" s="424"/>
      <c r="O16" s="425" t="str">
        <f>IF(L16&gt;M14,"是","否")</f>
        <v>否</v>
      </c>
      <c r="P16" s="423">
        <v>14</v>
      </c>
      <c r="Q16" s="424" t="str">
        <f>VLOOKUP(14,数据表!C1:D26,2,0)</f>
        <v>彩船定向2.5h</v>
      </c>
      <c r="R16" s="425" t="str">
        <f>IF(P16&gt;M14,"是","否")</f>
        <v>否</v>
      </c>
      <c r="S16" s="257"/>
      <c r="T16" s="257"/>
      <c r="U16" s="257"/>
      <c r="V16" s="257"/>
      <c r="W16" s="359"/>
      <c r="X16" s="359"/>
      <c r="Y16" s="359"/>
      <c r="Z16" s="359"/>
      <c r="AA16" s="359"/>
    </row>
    <row r="17" ht="15.6" spans="1:27">
      <c r="A17" s="359"/>
      <c r="B17" s="422"/>
      <c r="C17" s="426">
        <v>2</v>
      </c>
      <c r="D17" s="427" t="str">
        <f>VLOOKUP(2,数据表!A1:B26,2,0)</f>
        <v>彩船定向0.5h</v>
      </c>
      <c r="E17" s="427"/>
      <c r="F17" s="428" t="str">
        <f>IF(C17&gt;H14,"是","否")</f>
        <v>否</v>
      </c>
      <c r="G17" s="426">
        <v>15</v>
      </c>
      <c r="H17" s="427" t="str">
        <f>VLOOKUP(15,数据表!A1:B26,2,0)</f>
        <v>试验品募集2h蓝</v>
      </c>
      <c r="I17" s="427"/>
      <c r="J17" s="428" t="str">
        <f>IF(G17&gt;H14,"是","否")</f>
        <v>是</v>
      </c>
      <c r="K17" s="485"/>
      <c r="L17" s="426">
        <v>2</v>
      </c>
      <c r="M17" s="427" t="str">
        <f>VLOOKUP(2,数据表!C1:D26,2,0)</f>
        <v>彩船定向0.5h</v>
      </c>
      <c r="N17" s="427"/>
      <c r="O17" s="428" t="str">
        <f>IF(L17&gt;M14,"是","否")</f>
        <v>否</v>
      </c>
      <c r="P17" s="426">
        <v>15</v>
      </c>
      <c r="Q17" s="427" t="str">
        <f>VLOOKUP(15,数据表!C1:D26,2,0)</f>
        <v>基础研究6h</v>
      </c>
      <c r="R17" s="428" t="str">
        <f>IF(P17&gt;M14,"是","否")</f>
        <v>是</v>
      </c>
      <c r="S17" s="257"/>
      <c r="T17" s="257"/>
      <c r="U17" s="257"/>
      <c r="V17" s="257"/>
      <c r="W17" s="359"/>
      <c r="X17" s="359"/>
      <c r="Y17" s="359"/>
      <c r="Z17" s="359"/>
      <c r="AA17" s="359"/>
    </row>
    <row r="18" ht="15.6" spans="1:27">
      <c r="A18" s="359"/>
      <c r="B18" s="422"/>
      <c r="C18" s="426">
        <v>3</v>
      </c>
      <c r="D18" s="427" t="str">
        <f>VLOOKUP(3,数据表!A1:B26,2,0)</f>
        <v>金船定向0.5h</v>
      </c>
      <c r="E18" s="427"/>
      <c r="F18" s="428" t="str">
        <f>IF(C18&gt;H14,"是","否")</f>
        <v>否</v>
      </c>
      <c r="G18" s="426">
        <v>16</v>
      </c>
      <c r="H18" s="427" t="str">
        <f>VLOOKUP(16,数据表!A1:B26,2,0)</f>
        <v>资金募集2.5h</v>
      </c>
      <c r="I18" s="427"/>
      <c r="J18" s="428" t="str">
        <f>IF(G18&gt;H14,"是","否")</f>
        <v>是</v>
      </c>
      <c r="K18" s="485"/>
      <c r="L18" s="426">
        <v>3</v>
      </c>
      <c r="M18" s="427" t="str">
        <f>VLOOKUP(3,数据表!C1:D26,2,0)</f>
        <v>舰装解析4h</v>
      </c>
      <c r="N18" s="427"/>
      <c r="O18" s="428" t="str">
        <f>IF(L18&gt;M14,"是","否")</f>
        <v>否</v>
      </c>
      <c r="P18" s="426">
        <v>16</v>
      </c>
      <c r="Q18" s="427" t="str">
        <f>VLOOKUP(16,数据表!C1:D26,2,0)</f>
        <v>金船定向2.5h</v>
      </c>
      <c r="R18" s="428" t="str">
        <f>IF(P18&gt;M14,"是","否")</f>
        <v>是</v>
      </c>
      <c r="S18" s="257"/>
      <c r="T18" s="257"/>
      <c r="U18" s="257"/>
      <c r="V18" s="257"/>
      <c r="W18" s="359"/>
      <c r="X18" s="359"/>
      <c r="Y18" s="359"/>
      <c r="Z18" s="359"/>
      <c r="AA18" s="359"/>
    </row>
    <row r="19" ht="15.6" spans="1:27">
      <c r="A19" s="359"/>
      <c r="B19" s="422"/>
      <c r="C19" s="426">
        <v>4</v>
      </c>
      <c r="D19" s="427" t="str">
        <f>VLOOKUP(4,数据表!A1:B26,2,0)</f>
        <v>舰装解析4h</v>
      </c>
      <c r="E19" s="427"/>
      <c r="F19" s="428" t="str">
        <f>IF(C19&gt;H14,"是","否")</f>
        <v>否</v>
      </c>
      <c r="G19" s="426">
        <v>17</v>
      </c>
      <c r="H19" s="427" t="str">
        <f>VLOOKUP(17,数据表!A1:B26,2,0)</f>
        <v>研究委托3h</v>
      </c>
      <c r="I19" s="427"/>
      <c r="J19" s="428" t="str">
        <f>IF(G19&gt;H14,"是","否")</f>
        <v>是</v>
      </c>
      <c r="K19" s="485"/>
      <c r="L19" s="426">
        <v>4</v>
      </c>
      <c r="M19" s="427" t="str">
        <f>VLOOKUP(4,数据表!C1:D26,2,0)</f>
        <v>金船定向0.5h</v>
      </c>
      <c r="N19" s="427"/>
      <c r="O19" s="428" t="str">
        <f>IF(L19&gt;M14,"是","否")</f>
        <v>否</v>
      </c>
      <c r="P19" s="426">
        <v>17</v>
      </c>
      <c r="Q19" s="427" t="str">
        <f>VLOOKUP(17,数据表!C1:D26,2,0)</f>
        <v>基础研究12h</v>
      </c>
      <c r="R19" s="428" t="str">
        <f>IF(P19&gt;M14,"是","否")</f>
        <v>是</v>
      </c>
      <c r="S19" s="257"/>
      <c r="T19" s="257"/>
      <c r="U19" s="257"/>
      <c r="V19" s="257"/>
      <c r="W19" s="359"/>
      <c r="X19" s="359"/>
      <c r="Y19" s="359"/>
      <c r="Z19" s="359"/>
      <c r="AA19" s="359"/>
    </row>
    <row r="20" ht="15.6" spans="1:27">
      <c r="A20" s="359"/>
      <c r="B20" s="422"/>
      <c r="C20" s="426">
        <v>5</v>
      </c>
      <c r="D20" s="427" t="str">
        <f>VLOOKUP(5,数据表!A1:B26,2,0)</f>
        <v>心智补全0.5h</v>
      </c>
      <c r="E20" s="427"/>
      <c r="F20" s="428" t="str">
        <f>IF(C20&gt;H14,"是","否")</f>
        <v>否</v>
      </c>
      <c r="G20" s="426">
        <v>18</v>
      </c>
      <c r="H20" s="427" t="str">
        <f>VLOOKUP(18,数据表!A1:B26,2,0)</f>
        <v>彩船定向5h</v>
      </c>
      <c r="I20" s="427"/>
      <c r="J20" s="428" t="str">
        <f>IF(G20&gt;H14,"是","否")</f>
        <v>是</v>
      </c>
      <c r="K20" s="485"/>
      <c r="L20" s="426">
        <v>5</v>
      </c>
      <c r="M20" s="427" t="str">
        <f>VLOOKUP(5,数据表!C1:D26,2,0)</f>
        <v>彩船定向8h</v>
      </c>
      <c r="N20" s="427"/>
      <c r="O20" s="428" t="str">
        <f>IF(L20&gt;M14,"是","否")</f>
        <v>否</v>
      </c>
      <c r="P20" s="426">
        <v>18</v>
      </c>
      <c r="Q20" s="427" t="str">
        <f>VLOOKUP(18,数据表!C1:D26,2,0)</f>
        <v>资金募集2.5h</v>
      </c>
      <c r="R20" s="428" t="str">
        <f>IF(P20&gt;M14,"是","否")</f>
        <v>是</v>
      </c>
      <c r="S20" s="257"/>
      <c r="T20" s="257"/>
      <c r="U20" s="257"/>
      <c r="V20" s="257"/>
      <c r="W20" s="359"/>
      <c r="X20" s="359"/>
      <c r="Y20" s="359"/>
      <c r="Z20" s="359"/>
      <c r="AA20" s="359"/>
    </row>
    <row r="21" ht="15.6" spans="1:27">
      <c r="A21" s="359"/>
      <c r="B21" s="422"/>
      <c r="C21" s="426">
        <v>6</v>
      </c>
      <c r="D21" s="427" t="str">
        <f>VLOOKUP(6,数据表!A1:B26,2,0)</f>
        <v>舰装解析2h</v>
      </c>
      <c r="E21" s="427"/>
      <c r="F21" s="428" t="str">
        <f>IF(C21&gt;H14,"是","否")</f>
        <v>否</v>
      </c>
      <c r="G21" s="426">
        <v>19</v>
      </c>
      <c r="H21" s="427" t="str">
        <f>VLOOKUP(19,数据表!A1:B26,2,0)</f>
        <v>金船定向5h</v>
      </c>
      <c r="I21" s="427"/>
      <c r="J21" s="428" t="str">
        <f>IF(G21&gt;H14,"是","否")</f>
        <v>是</v>
      </c>
      <c r="K21" s="485"/>
      <c r="L21" s="426">
        <v>6</v>
      </c>
      <c r="M21" s="427" t="str">
        <f>VLOOKUP(6,数据表!C1:D26,2,0)</f>
        <v>金船定向8h</v>
      </c>
      <c r="N21" s="427"/>
      <c r="O21" s="428" t="str">
        <f>IF(L21&gt;M14,"是","否")</f>
        <v>否</v>
      </c>
      <c r="P21" s="426">
        <v>19</v>
      </c>
      <c r="Q21" s="427" t="str">
        <f>VLOOKUP(19,数据表!C1:D26,2,0)</f>
        <v>舰装解析1h</v>
      </c>
      <c r="R21" s="428" t="str">
        <f>IF(P21&gt;M14,"是","否")</f>
        <v>是</v>
      </c>
      <c r="S21" s="257"/>
      <c r="T21" s="257"/>
      <c r="U21" s="257"/>
      <c r="V21" s="257"/>
      <c r="W21" s="359"/>
      <c r="X21" s="359"/>
      <c r="Y21" s="359"/>
      <c r="Z21" s="359"/>
      <c r="AA21" s="359"/>
    </row>
    <row r="22" ht="15.6" spans="1:27">
      <c r="A22" s="359"/>
      <c r="B22" s="422"/>
      <c r="C22" s="426">
        <v>7</v>
      </c>
      <c r="D22" s="427" t="str">
        <f>VLOOKUP(7,数据表!A1:B26,2,0)</f>
        <v>舰装解析1h</v>
      </c>
      <c r="E22" s="427"/>
      <c r="F22" s="428" t="str">
        <f>IF(C22&gt;H14,"是","否")</f>
        <v>否</v>
      </c>
      <c r="G22" s="426">
        <v>20</v>
      </c>
      <c r="H22" s="427" t="str">
        <f>VLOOKUP(20,数据表!A1:B26,2,0)</f>
        <v>魔方解析2h</v>
      </c>
      <c r="I22" s="427"/>
      <c r="J22" s="428" t="str">
        <f>IF(G22&gt;H14,"是","否")</f>
        <v>是</v>
      </c>
      <c r="K22" s="485"/>
      <c r="L22" s="426">
        <v>7</v>
      </c>
      <c r="M22" s="427" t="str">
        <f>VLOOKUP(7,数据表!C1:D26,2,0)</f>
        <v>资金募集4h</v>
      </c>
      <c r="N22" s="427"/>
      <c r="O22" s="428" t="str">
        <f>IF(L22&gt;M14,"是","否")</f>
        <v>否</v>
      </c>
      <c r="P22" s="426">
        <v>20</v>
      </c>
      <c r="Q22" s="427" t="str">
        <f>VLOOKUP(20,数据表!C1:D26,2,0)</f>
        <v>试验品募集2h紫</v>
      </c>
      <c r="R22" s="428" t="str">
        <f>IF(P22&gt;M14,"是","否")</f>
        <v>是</v>
      </c>
      <c r="S22" s="257"/>
      <c r="T22" s="257"/>
      <c r="U22" s="257"/>
      <c r="V22" s="257"/>
      <c r="W22" s="359"/>
      <c r="X22" s="359"/>
      <c r="Y22" s="359"/>
      <c r="Z22" s="359"/>
      <c r="AA22" s="359"/>
    </row>
    <row r="23" ht="15.6" spans="1:27">
      <c r="A23" s="359"/>
      <c r="B23" s="422"/>
      <c r="C23" s="426">
        <v>8</v>
      </c>
      <c r="D23" s="427" t="str">
        <f>VLOOKUP(8,数据表!A1:B26,2,0)</f>
        <v>资金募集4h</v>
      </c>
      <c r="E23" s="427"/>
      <c r="F23" s="428" t="str">
        <f>IF(C23&gt;H14,"是","否")</f>
        <v>否</v>
      </c>
      <c r="G23" s="426">
        <v>21</v>
      </c>
      <c r="H23" s="427" t="str">
        <f>VLOOKUP(21,数据表!A1:B26,2,0)</f>
        <v>彩船定向8h</v>
      </c>
      <c r="I23" s="427"/>
      <c r="J23" s="428" t="str">
        <f>IF(G23&gt;H14,"是","否")</f>
        <v>是</v>
      </c>
      <c r="K23" s="485"/>
      <c r="L23" s="426">
        <v>8</v>
      </c>
      <c r="M23" s="427" t="str">
        <f>VLOOKUP(8,数据表!C1:D26,2,0)</f>
        <v>金数据收集4h</v>
      </c>
      <c r="N23" s="427"/>
      <c r="O23" s="428" t="str">
        <f>IF(L23&gt;M14,"是","否")</f>
        <v>否</v>
      </c>
      <c r="P23" s="426">
        <v>21</v>
      </c>
      <c r="Q23" s="427" t="str">
        <f>VLOOKUP(21,数据表!C1:D26,2,0)</f>
        <v>魔方解析2h</v>
      </c>
      <c r="R23" s="428" t="str">
        <f>IF(P23&gt;M14,"是","否")</f>
        <v>是</v>
      </c>
      <c r="S23" s="257"/>
      <c r="T23" s="257"/>
      <c r="U23" s="257"/>
      <c r="V23" s="257"/>
      <c r="W23" s="359"/>
      <c r="X23" s="359"/>
      <c r="Y23" s="359"/>
      <c r="Z23" s="359"/>
      <c r="AA23" s="359"/>
    </row>
    <row r="24" ht="15.6" spans="1:27">
      <c r="A24" s="359"/>
      <c r="B24" s="422"/>
      <c r="C24" s="426">
        <v>9</v>
      </c>
      <c r="D24" s="427" t="str">
        <f>VLOOKUP(9,数据表!A1:B26,2,0)</f>
        <v>资金募集1.5h</v>
      </c>
      <c r="E24" s="427"/>
      <c r="F24" s="428" t="str">
        <f>IF(C24&gt;H14,"是","否")</f>
        <v>否</v>
      </c>
      <c r="G24" s="426">
        <v>22</v>
      </c>
      <c r="H24" s="427" t="str">
        <f>VLOOKUP(22,数据表!A1:B26,2,0)</f>
        <v>金船定向8h</v>
      </c>
      <c r="I24" s="427"/>
      <c r="J24" s="428" t="str">
        <f>IF(G24&gt;H14,"是","否")</f>
        <v>是</v>
      </c>
      <c r="K24" s="485"/>
      <c r="L24" s="426">
        <v>9</v>
      </c>
      <c r="M24" s="427" t="str">
        <f>VLOOKUP(9,数据表!C1:D26,2,0)</f>
        <v>彩船定向5h</v>
      </c>
      <c r="N24" s="427"/>
      <c r="O24" s="428" t="str">
        <f>IF(L24&gt;M14,"是","否")</f>
        <v>否</v>
      </c>
      <c r="P24" s="426">
        <v>22</v>
      </c>
      <c r="Q24" s="427" t="str">
        <f>VLOOKUP(22,数据表!C1:D26,2,0)</f>
        <v>资金募集1.5h</v>
      </c>
      <c r="R24" s="428" t="str">
        <f>IF(P24&gt;M14,"是","否")</f>
        <v>是</v>
      </c>
      <c r="S24" s="257"/>
      <c r="T24" s="257"/>
      <c r="U24" s="257"/>
      <c r="V24" s="257"/>
      <c r="W24" s="359"/>
      <c r="X24" s="359"/>
      <c r="Y24" s="359"/>
      <c r="Z24" s="359"/>
      <c r="AA24" s="359"/>
    </row>
    <row r="25" ht="15.6" spans="1:27">
      <c r="A25" s="359"/>
      <c r="B25" s="422"/>
      <c r="C25" s="426">
        <v>10</v>
      </c>
      <c r="D25" s="427" t="str">
        <f>VLOOKUP(10,数据表!A1:B26,2,0)</f>
        <v>彩船定向2.5h</v>
      </c>
      <c r="E25" s="427"/>
      <c r="F25" s="428" t="str">
        <f>IF(C25&gt;H14,"是","否")</f>
        <v>否</v>
      </c>
      <c r="G25" s="426">
        <v>23</v>
      </c>
      <c r="H25" s="427" t="str">
        <f>VLOOKUP(23,数据表!A1:B26,2,0)</f>
        <v>基础研究6h</v>
      </c>
      <c r="I25" s="427"/>
      <c r="J25" s="428" t="str">
        <f>IF(G25&gt;H14,"是","否")</f>
        <v>是</v>
      </c>
      <c r="K25" s="485"/>
      <c r="L25" s="426">
        <v>10</v>
      </c>
      <c r="M25" s="427" t="str">
        <f>VLOOKUP(10,数据表!C1:D26,2,0)</f>
        <v>基础研究8h</v>
      </c>
      <c r="N25" s="427"/>
      <c r="O25" s="428" t="str">
        <f>IF(L25&gt;M14,"是","否")</f>
        <v>否</v>
      </c>
      <c r="P25" s="426">
        <v>23</v>
      </c>
      <c r="Q25" s="427" t="str">
        <f>VLOOKUP(23,数据表!C1:D26,2,0)</f>
        <v>魔方解析4h</v>
      </c>
      <c r="R25" s="428" t="str">
        <f>IF(P25&gt;M14,"是","否")</f>
        <v>是</v>
      </c>
      <c r="S25" s="257"/>
      <c r="T25" s="257"/>
      <c r="U25" s="257"/>
      <c r="V25" s="257"/>
      <c r="W25" s="359"/>
      <c r="X25" s="359"/>
      <c r="Y25" s="359"/>
      <c r="Z25" s="359"/>
      <c r="AA25" s="359"/>
    </row>
    <row r="26" ht="15.6" spans="1:27">
      <c r="A26" s="359"/>
      <c r="B26" s="422"/>
      <c r="C26" s="426">
        <v>11</v>
      </c>
      <c r="D26" s="427" t="str">
        <f>VLOOKUP(11,数据表!A1:B26,2,0)</f>
        <v>金船定向2.5h</v>
      </c>
      <c r="E26" s="427"/>
      <c r="F26" s="428" t="str">
        <f>IF(C26&gt;H14,"是","否")</f>
        <v>否</v>
      </c>
      <c r="G26" s="426">
        <v>24</v>
      </c>
      <c r="H26" s="427" t="str">
        <f>VLOOKUP(24,数据表!A1:B26,2,0)</f>
        <v>基础研究8h</v>
      </c>
      <c r="I26" s="427"/>
      <c r="J26" s="428" t="str">
        <f>IF(G26&gt;H14,"是","否")</f>
        <v>是</v>
      </c>
      <c r="K26" s="485"/>
      <c r="L26" s="426">
        <v>11</v>
      </c>
      <c r="M26" s="427" t="str">
        <f>VLOOKUP(11,数据表!C1:D26,2,0)</f>
        <v>金船定向5h</v>
      </c>
      <c r="N26" s="427"/>
      <c r="O26" s="428" t="str">
        <f>IF(L26&gt;M14,"是","否")</f>
        <v>否</v>
      </c>
      <c r="P26" s="426">
        <v>24</v>
      </c>
      <c r="Q26" s="427" t="str">
        <f>VLOOKUP(24,数据表!C1:D26,2,0)</f>
        <v>魔方解析1h</v>
      </c>
      <c r="R26" s="428" t="str">
        <f>IF(P26&gt;M14,"是","否")</f>
        <v>是</v>
      </c>
      <c r="S26" s="257"/>
      <c r="T26" s="257"/>
      <c r="U26" s="257"/>
      <c r="V26" s="257"/>
      <c r="W26" s="359"/>
      <c r="X26" s="359"/>
      <c r="Y26" s="359"/>
      <c r="Z26" s="359"/>
      <c r="AA26" s="359"/>
    </row>
    <row r="27" ht="15.6" spans="1:27">
      <c r="A27" s="359"/>
      <c r="B27" s="422"/>
      <c r="C27" s="426">
        <v>12</v>
      </c>
      <c r="D27" s="427" t="str">
        <f>VLOOKUP(12,数据表!A1:B26,2,0)</f>
        <v>试验品募集2h紫</v>
      </c>
      <c r="E27" s="427"/>
      <c r="F27" s="428" t="str">
        <f>IF(C27&gt;H14,"是","否")</f>
        <v>否</v>
      </c>
      <c r="G27" s="426">
        <v>25</v>
      </c>
      <c r="H27" s="427" t="str">
        <f>VLOOKUP(25,数据表!A1:B26,2,0)</f>
        <v>魔方解析4h</v>
      </c>
      <c r="I27" s="427"/>
      <c r="J27" s="428" t="str">
        <f>IF(G27&gt;H14,"是","否")</f>
        <v>是</v>
      </c>
      <c r="K27" s="485"/>
      <c r="L27" s="426">
        <v>12</v>
      </c>
      <c r="M27" s="427" t="str">
        <f>VLOOKUP(12,数据表!C1:D26,2,0)</f>
        <v>舰装解析2h</v>
      </c>
      <c r="N27" s="427"/>
      <c r="O27" s="428" t="str">
        <f>IF(L27&gt;M14,"是","否")</f>
        <v>否</v>
      </c>
      <c r="P27" s="426">
        <v>25</v>
      </c>
      <c r="Q27" s="427" t="str">
        <f>VLOOKUP(25,数据表!C1:D26,2,0)</f>
        <v>试验品募集2h蓝</v>
      </c>
      <c r="R27" s="428" t="str">
        <f>IF(P27&gt;M14,"是","否")</f>
        <v>是</v>
      </c>
      <c r="S27" s="257"/>
      <c r="T27" s="257"/>
      <c r="U27" s="257"/>
      <c r="V27" s="257"/>
      <c r="W27" s="359"/>
      <c r="X27" s="359"/>
      <c r="Y27" s="359"/>
      <c r="Z27" s="359"/>
      <c r="AA27" s="359"/>
    </row>
    <row r="28" ht="16.35" spans="1:27">
      <c r="A28" s="359"/>
      <c r="B28" s="429"/>
      <c r="C28" s="430">
        <v>13</v>
      </c>
      <c r="D28" s="431" t="str">
        <f>VLOOKUP(13,数据表!A1:B26,2,0)</f>
        <v>魔方解析1h</v>
      </c>
      <c r="E28" s="431"/>
      <c r="F28" s="432" t="str">
        <f>IF(C28&gt;H14,"是","否")</f>
        <v>是</v>
      </c>
      <c r="G28" s="430">
        <v>26</v>
      </c>
      <c r="H28" s="431" t="str">
        <f>VLOOKUP(26,数据表!A1:B26,2,0)</f>
        <v>基础研究12h</v>
      </c>
      <c r="I28" s="431"/>
      <c r="J28" s="432" t="str">
        <f>IF(G28&gt;H14,"是","否")</f>
        <v>是</v>
      </c>
      <c r="K28" s="486"/>
      <c r="L28" s="430">
        <v>13</v>
      </c>
      <c r="M28" s="431" t="str">
        <f>VLOOKUP(13,数据表!C1:D26,2,0)</f>
        <v>心智补全0.5h</v>
      </c>
      <c r="N28" s="487"/>
      <c r="O28" s="488" t="str">
        <f>IF(L28&gt;M14,"是","否")</f>
        <v>否</v>
      </c>
      <c r="P28" s="489">
        <v>26</v>
      </c>
      <c r="Q28" s="431" t="str">
        <f>VLOOKUP(26,数据表!C1:D26,2,0)</f>
        <v>研究委托3h</v>
      </c>
      <c r="R28" s="432" t="str">
        <f>IF(P28&gt;M14,"是","否")</f>
        <v>是</v>
      </c>
      <c r="S28" s="257"/>
      <c r="T28" s="257"/>
      <c r="U28" s="257"/>
      <c r="V28" s="257"/>
      <c r="W28" s="359"/>
      <c r="X28" s="359"/>
      <c r="Y28" s="359"/>
      <c r="Z28" s="359"/>
      <c r="AA28" s="359"/>
    </row>
    <row r="29" ht="17.4" spans="1:25">
      <c r="A29" s="359"/>
      <c r="B29" s="433" t="s">
        <v>83</v>
      </c>
      <c r="C29" s="434"/>
      <c r="D29" s="435">
        <f>I13</f>
        <v>16</v>
      </c>
      <c r="E29" s="436"/>
      <c r="F29" s="437" t="s">
        <v>84</v>
      </c>
      <c r="G29" s="438"/>
      <c r="H29" s="439">
        <f>白天模拟!U60+夜晚模拟!U60</f>
        <v>0.706994011137535</v>
      </c>
      <c r="I29" s="490"/>
      <c r="J29" s="491" t="s">
        <v>85</v>
      </c>
      <c r="K29" s="492"/>
      <c r="L29" s="492"/>
      <c r="M29" s="493"/>
      <c r="N29" s="438" t="s">
        <v>86</v>
      </c>
      <c r="O29" s="434"/>
      <c r="P29" s="494">
        <f>白天模拟!V28</f>
        <v>0.202450398410837</v>
      </c>
      <c r="Q29" s="534" t="str">
        <f>VLOOKUP(1,数据表!C38:D44,2,0)</f>
        <v>策略偏激进</v>
      </c>
      <c r="R29" s="535"/>
      <c r="S29" s="536"/>
      <c r="T29" s="536"/>
      <c r="U29" s="257"/>
      <c r="V29" s="359"/>
      <c r="W29" s="359"/>
      <c r="X29" s="359"/>
      <c r="Y29" s="359"/>
    </row>
    <row r="30" ht="18.15" spans="1:25">
      <c r="A30" s="359"/>
      <c r="B30" s="440" t="s">
        <v>87</v>
      </c>
      <c r="C30" s="441"/>
      <c r="D30" s="442">
        <f>1+白天模拟!O60</f>
        <v>8.96014307505893</v>
      </c>
      <c r="E30" s="443"/>
      <c r="F30" s="444" t="s">
        <v>88</v>
      </c>
      <c r="G30" s="445"/>
      <c r="H30" s="446">
        <f>白天模拟!T60+夜晚模拟!T60</f>
        <v>2.4545645885554</v>
      </c>
      <c r="I30" s="495"/>
      <c r="J30" s="496" t="s">
        <v>89</v>
      </c>
      <c r="K30" s="497"/>
      <c r="L30" s="498">
        <f ca="1">H29*数据表!B49</f>
        <v>31.8857899455244</v>
      </c>
      <c r="M30" s="499"/>
      <c r="N30" s="500" t="s">
        <v>90</v>
      </c>
      <c r="O30" s="450"/>
      <c r="P30" s="501">
        <f>(1-白天模拟!T28)</f>
        <v>0.548000047243098</v>
      </c>
      <c r="Q30" s="537"/>
      <c r="R30" s="538"/>
      <c r="S30" s="536"/>
      <c r="T30" s="536"/>
      <c r="U30" s="257"/>
      <c r="V30" s="359"/>
      <c r="W30" s="359"/>
      <c r="X30" s="359"/>
      <c r="Y30" s="359"/>
    </row>
    <row r="31" ht="15.6" spans="1:25">
      <c r="A31" s="359"/>
      <c r="B31" s="440" t="s">
        <v>91</v>
      </c>
      <c r="C31" s="441"/>
      <c r="D31" s="447">
        <f>白天模拟!AC60+夜晚模拟!AC60</f>
        <v>1.0287111106765</v>
      </c>
      <c r="E31" s="197"/>
      <c r="F31" s="440" t="s">
        <v>92</v>
      </c>
      <c r="G31" s="441"/>
      <c r="H31" s="448">
        <f>白天模拟!S60+夜晚模拟!S60</f>
        <v>6.18091440281291</v>
      </c>
      <c r="I31" s="446"/>
      <c r="J31" s="496" t="s">
        <v>93</v>
      </c>
      <c r="K31" s="497"/>
      <c r="L31" s="498">
        <f ca="1">H30*数据表!B49</f>
        <v>110.702112953506</v>
      </c>
      <c r="M31" s="499"/>
      <c r="N31" s="502" t="s">
        <v>94</v>
      </c>
      <c r="O31" s="503"/>
      <c r="P31" s="503"/>
      <c r="Q31" s="539">
        <f>夜晚模拟!T29*(1-P30)+P30</f>
        <v>0.651980661187689</v>
      </c>
      <c r="R31" s="257"/>
      <c r="S31" s="257"/>
      <c r="T31" s="257"/>
      <c r="U31" s="359"/>
      <c r="V31" s="359"/>
      <c r="W31" s="359"/>
      <c r="X31" s="359"/>
      <c r="Y31" s="359"/>
    </row>
    <row r="32" ht="16.35" spans="1:28">
      <c r="A32" s="359"/>
      <c r="B32" s="449" t="s">
        <v>95</v>
      </c>
      <c r="C32" s="450"/>
      <c r="D32" s="451">
        <f>白天模拟!AB60+夜晚模拟!AB60</f>
        <v>15404.371090584</v>
      </c>
      <c r="E32" s="452"/>
      <c r="F32" s="453" t="s">
        <v>96</v>
      </c>
      <c r="G32" s="454"/>
      <c r="H32" s="455">
        <f>白天模拟!W60+夜晚模拟!W60</f>
        <v>7.20714780885</v>
      </c>
      <c r="I32" s="504"/>
      <c r="J32" s="505" t="s">
        <v>97</v>
      </c>
      <c r="K32" s="506"/>
      <c r="L32" s="507">
        <f ca="1">H31*数据表!B49</f>
        <v>278.762387254535</v>
      </c>
      <c r="M32" s="508"/>
      <c r="N32" s="509" t="s">
        <v>98</v>
      </c>
      <c r="O32" s="510"/>
      <c r="P32" s="510"/>
      <c r="Q32" s="540">
        <f>夜晚模拟!V28</f>
        <v>0.352435700437533</v>
      </c>
      <c r="R32" s="541"/>
      <c r="S32" s="541"/>
      <c r="T32" s="541"/>
      <c r="U32" s="257"/>
      <c r="V32" s="257"/>
      <c r="W32" s="257"/>
      <c r="X32" s="359"/>
      <c r="Y32" s="359"/>
      <c r="Z32" s="359"/>
      <c r="AA32" s="359"/>
      <c r="AB32" s="359"/>
    </row>
    <row r="33" ht="23" customHeight="1" spans="1:28">
      <c r="A33" s="359"/>
      <c r="B33" s="456" t="s">
        <v>99</v>
      </c>
      <c r="C33" s="457"/>
      <c r="D33" s="457"/>
      <c r="E33" s="457"/>
      <c r="F33" s="457"/>
      <c r="G33" s="457"/>
      <c r="H33" s="457"/>
      <c r="I33" s="456" t="s">
        <v>100</v>
      </c>
      <c r="J33" s="511"/>
      <c r="K33" s="511"/>
      <c r="L33" s="511"/>
      <c r="M33" s="511"/>
      <c r="N33" s="512"/>
      <c r="O33" s="512"/>
      <c r="P33" s="513"/>
      <c r="Q33" s="542"/>
      <c r="R33" s="542"/>
      <c r="S33" s="542"/>
      <c r="T33" s="542"/>
      <c r="U33" s="359"/>
      <c r="V33" s="359"/>
      <c r="W33" s="359"/>
      <c r="X33" s="359"/>
      <c r="Y33" s="359"/>
      <c r="Z33" s="359"/>
      <c r="AA33" s="359"/>
      <c r="AB33" s="359"/>
    </row>
    <row r="34" ht="15.6" spans="1:28">
      <c r="A34" s="369"/>
      <c r="B34" s="458"/>
      <c r="C34" s="369"/>
      <c r="D34" s="369"/>
      <c r="E34" s="369"/>
      <c r="F34" s="369"/>
      <c r="G34" s="369"/>
      <c r="H34" s="369"/>
      <c r="I34" s="458"/>
      <c r="J34" s="369"/>
      <c r="K34" s="369"/>
      <c r="L34" s="369"/>
      <c r="M34" s="369"/>
      <c r="N34" s="369"/>
      <c r="O34" s="369"/>
      <c r="P34" s="464"/>
      <c r="Q34" s="359"/>
      <c r="R34" s="359"/>
      <c r="S34" s="359"/>
      <c r="T34" s="359"/>
      <c r="U34" s="359"/>
      <c r="V34" s="359"/>
      <c r="W34" s="359"/>
      <c r="X34" s="359"/>
      <c r="Y34" s="359"/>
      <c r="Z34" s="359"/>
      <c r="AA34" s="359"/>
      <c r="AB34" s="359"/>
    </row>
    <row r="35" ht="15.6" spans="1:28">
      <c r="A35" s="369"/>
      <c r="B35" s="458"/>
      <c r="C35" s="369"/>
      <c r="D35" s="369"/>
      <c r="E35" s="369"/>
      <c r="F35" s="369"/>
      <c r="G35" s="369"/>
      <c r="H35" s="369"/>
      <c r="I35" s="458"/>
      <c r="J35" s="369"/>
      <c r="K35" s="369"/>
      <c r="L35" s="369"/>
      <c r="M35" s="369"/>
      <c r="N35" s="369"/>
      <c r="O35" s="369"/>
      <c r="P35" s="464"/>
      <c r="Q35" s="359"/>
      <c r="R35" s="359"/>
      <c r="S35" s="359"/>
      <c r="T35" s="359"/>
      <c r="U35" s="359"/>
      <c r="V35" s="359"/>
      <c r="W35" s="359"/>
      <c r="X35" s="359"/>
      <c r="Y35" s="359"/>
      <c r="Z35" s="359"/>
      <c r="AA35" s="359"/>
      <c r="AB35" s="359"/>
    </row>
    <row r="36" ht="15.6" spans="1:28">
      <c r="A36" s="369"/>
      <c r="B36" s="458"/>
      <c r="C36" s="369"/>
      <c r="D36" s="369"/>
      <c r="E36" s="369"/>
      <c r="F36" s="369"/>
      <c r="G36" s="369"/>
      <c r="H36" s="369"/>
      <c r="I36" s="458"/>
      <c r="J36" s="369"/>
      <c r="K36" s="369"/>
      <c r="L36" s="369"/>
      <c r="M36" s="369"/>
      <c r="N36" s="369"/>
      <c r="O36" s="369"/>
      <c r="P36" s="464"/>
      <c r="Q36" s="359"/>
      <c r="R36" s="359"/>
      <c r="S36" s="359"/>
      <c r="T36" s="359"/>
      <c r="U36" s="359"/>
      <c r="V36" s="359"/>
      <c r="W36" s="359"/>
      <c r="X36" s="359"/>
      <c r="Y36" s="359"/>
      <c r="Z36" s="359"/>
      <c r="AA36" s="359"/>
      <c r="AB36" s="359"/>
    </row>
    <row r="37" ht="15.6" spans="1:28">
      <c r="A37" s="369"/>
      <c r="B37" s="458"/>
      <c r="C37" s="369"/>
      <c r="D37" s="369"/>
      <c r="E37" s="369"/>
      <c r="F37" s="369"/>
      <c r="G37" s="369"/>
      <c r="H37" s="369"/>
      <c r="I37" s="458"/>
      <c r="J37" s="369"/>
      <c r="K37" s="369"/>
      <c r="L37" s="369"/>
      <c r="M37" s="369"/>
      <c r="N37" s="369"/>
      <c r="O37" s="369"/>
      <c r="P37" s="464"/>
      <c r="Q37" s="359"/>
      <c r="R37" s="359"/>
      <c r="S37" s="359"/>
      <c r="T37" s="359"/>
      <c r="U37" s="359"/>
      <c r="V37" s="359"/>
      <c r="W37" s="359"/>
      <c r="X37" s="359"/>
      <c r="Y37" s="359"/>
      <c r="Z37" s="359"/>
      <c r="AA37" s="359"/>
      <c r="AB37" s="359"/>
    </row>
    <row r="38" ht="15.6" spans="1:28">
      <c r="A38" s="369"/>
      <c r="B38" s="458"/>
      <c r="C38" s="369"/>
      <c r="D38" s="369"/>
      <c r="E38" s="369"/>
      <c r="F38" s="369"/>
      <c r="G38" s="369"/>
      <c r="H38" s="369"/>
      <c r="I38" s="458"/>
      <c r="J38" s="369"/>
      <c r="K38" s="369"/>
      <c r="L38" s="369"/>
      <c r="M38" s="369"/>
      <c r="N38" s="369"/>
      <c r="O38" s="369"/>
      <c r="P38" s="464"/>
      <c r="Q38" s="359"/>
      <c r="R38" s="359"/>
      <c r="S38" s="359"/>
      <c r="T38" s="359"/>
      <c r="U38" s="359"/>
      <c r="V38" s="359"/>
      <c r="W38" s="359"/>
      <c r="X38" s="359"/>
      <c r="Y38" s="359"/>
      <c r="Z38" s="359"/>
      <c r="AA38" s="359"/>
      <c r="AB38" s="359"/>
    </row>
    <row r="39" ht="15.6" spans="1:28">
      <c r="A39" s="369"/>
      <c r="B39" s="458"/>
      <c r="C39" s="369"/>
      <c r="D39" s="369"/>
      <c r="E39" s="369"/>
      <c r="F39" s="369"/>
      <c r="G39" s="369"/>
      <c r="H39" s="369"/>
      <c r="I39" s="458"/>
      <c r="J39" s="369"/>
      <c r="K39" s="369"/>
      <c r="L39" s="369"/>
      <c r="M39" s="369"/>
      <c r="N39" s="369"/>
      <c r="O39" s="369"/>
      <c r="P39" s="464"/>
      <c r="Q39" s="359"/>
      <c r="R39" s="359"/>
      <c r="S39" s="359"/>
      <c r="T39" s="359"/>
      <c r="U39" s="359"/>
      <c r="V39" s="359"/>
      <c r="W39" s="359"/>
      <c r="X39" s="359"/>
      <c r="Y39" s="359"/>
      <c r="Z39" s="359"/>
      <c r="AA39" s="359"/>
      <c r="AB39" s="359"/>
    </row>
    <row r="40" ht="15.6" spans="1:28">
      <c r="A40" s="369"/>
      <c r="B40" s="458"/>
      <c r="C40" s="369"/>
      <c r="D40" s="369"/>
      <c r="E40" s="369"/>
      <c r="F40" s="369"/>
      <c r="G40" s="369"/>
      <c r="H40" s="369"/>
      <c r="I40" s="458"/>
      <c r="J40" s="369"/>
      <c r="K40" s="369"/>
      <c r="L40" s="369"/>
      <c r="M40" s="369"/>
      <c r="N40" s="369"/>
      <c r="O40" s="369"/>
      <c r="P40" s="464"/>
      <c r="Q40" s="359"/>
      <c r="R40" s="359"/>
      <c r="S40" s="359"/>
      <c r="T40" s="359"/>
      <c r="U40" s="359"/>
      <c r="V40" s="359"/>
      <c r="W40" s="359"/>
      <c r="X40" s="359"/>
      <c r="Y40" s="359"/>
      <c r="Z40" s="359"/>
      <c r="AA40" s="359"/>
      <c r="AB40" s="359"/>
    </row>
    <row r="41" ht="15.6" spans="1:28">
      <c r="A41" s="369"/>
      <c r="B41" s="458"/>
      <c r="C41" s="369"/>
      <c r="D41" s="369"/>
      <c r="E41" s="369"/>
      <c r="F41" s="369"/>
      <c r="G41" s="369"/>
      <c r="H41" s="369"/>
      <c r="I41" s="458"/>
      <c r="J41" s="369"/>
      <c r="K41" s="369"/>
      <c r="L41" s="369"/>
      <c r="M41" s="369"/>
      <c r="N41" s="369"/>
      <c r="O41" s="369"/>
      <c r="P41" s="464"/>
      <c r="Q41" s="359"/>
      <c r="R41" s="359"/>
      <c r="S41" s="359"/>
      <c r="T41" s="359"/>
      <c r="U41" s="359"/>
      <c r="V41" s="359"/>
      <c r="W41" s="359"/>
      <c r="X41" s="359"/>
      <c r="Y41" s="359"/>
      <c r="Z41" s="359"/>
      <c r="AA41" s="359"/>
      <c r="AB41" s="359"/>
    </row>
    <row r="42" ht="15.6" spans="1:28">
      <c r="A42" s="369"/>
      <c r="B42" s="458"/>
      <c r="C42" s="369"/>
      <c r="D42" s="369"/>
      <c r="E42" s="369"/>
      <c r="F42" s="369"/>
      <c r="G42" s="369"/>
      <c r="H42" s="369"/>
      <c r="I42" s="458"/>
      <c r="J42" s="369"/>
      <c r="K42" s="369"/>
      <c r="L42" s="369"/>
      <c r="M42" s="369"/>
      <c r="N42" s="369"/>
      <c r="O42" s="369"/>
      <c r="P42" s="464"/>
      <c r="Q42" s="359"/>
      <c r="R42" s="359"/>
      <c r="S42" s="359"/>
      <c r="T42" s="359"/>
      <c r="U42" s="359"/>
      <c r="V42" s="359"/>
      <c r="W42" s="359"/>
      <c r="X42" s="359"/>
      <c r="Y42" s="359"/>
      <c r="Z42" s="359"/>
      <c r="AA42" s="359"/>
      <c r="AB42" s="359"/>
    </row>
    <row r="43" ht="15.6" spans="1:28">
      <c r="A43" s="369"/>
      <c r="B43" s="458"/>
      <c r="C43" s="369"/>
      <c r="D43" s="369"/>
      <c r="E43" s="369"/>
      <c r="F43" s="369"/>
      <c r="G43" s="369"/>
      <c r="H43" s="369"/>
      <c r="I43" s="458"/>
      <c r="J43" s="369"/>
      <c r="K43" s="369"/>
      <c r="L43" s="369"/>
      <c r="M43" s="369"/>
      <c r="N43" s="369"/>
      <c r="O43" s="369"/>
      <c r="P43" s="464"/>
      <c r="Q43" s="359"/>
      <c r="R43" s="359"/>
      <c r="S43" s="359"/>
      <c r="T43" s="359"/>
      <c r="U43" s="359"/>
      <c r="V43" s="359"/>
      <c r="W43" s="359"/>
      <c r="X43" s="359"/>
      <c r="Y43" s="359"/>
      <c r="Z43" s="359"/>
      <c r="AA43" s="359"/>
      <c r="AB43" s="359"/>
    </row>
    <row r="44" ht="15.6" spans="1:28">
      <c r="A44" s="369"/>
      <c r="B44" s="458"/>
      <c r="C44" s="369"/>
      <c r="D44" s="369"/>
      <c r="E44" s="369"/>
      <c r="F44" s="369"/>
      <c r="G44" s="369"/>
      <c r="H44" s="369"/>
      <c r="I44" s="458"/>
      <c r="J44" s="369"/>
      <c r="K44" s="369"/>
      <c r="L44" s="369"/>
      <c r="M44" s="369"/>
      <c r="N44" s="369"/>
      <c r="O44" s="369"/>
      <c r="P44" s="464"/>
      <c r="Q44" s="359"/>
      <c r="R44" s="359"/>
      <c r="S44" s="359"/>
      <c r="T44" s="359"/>
      <c r="U44" s="359"/>
      <c r="V44" s="359"/>
      <c r="W44" s="359"/>
      <c r="X44" s="359"/>
      <c r="Y44" s="359"/>
      <c r="Z44" s="359"/>
      <c r="AA44" s="359"/>
      <c r="AB44" s="359"/>
    </row>
    <row r="45" ht="15.6" spans="1:28">
      <c r="A45" s="369"/>
      <c r="B45" s="458"/>
      <c r="C45" s="369"/>
      <c r="D45" s="369"/>
      <c r="E45" s="369"/>
      <c r="F45" s="369"/>
      <c r="G45" s="369"/>
      <c r="H45" s="369"/>
      <c r="I45" s="458"/>
      <c r="J45" s="369"/>
      <c r="K45" s="369"/>
      <c r="L45" s="369"/>
      <c r="M45" s="369"/>
      <c r="N45" s="369"/>
      <c r="O45" s="369"/>
      <c r="P45" s="464"/>
      <c r="Q45" s="359"/>
      <c r="R45" s="359"/>
      <c r="S45" s="359"/>
      <c r="T45" s="359"/>
      <c r="U45" s="359"/>
      <c r="V45" s="359"/>
      <c r="W45" s="359"/>
      <c r="X45" s="359"/>
      <c r="Y45" s="359"/>
      <c r="Z45" s="359"/>
      <c r="AA45" s="359"/>
      <c r="AB45" s="359"/>
    </row>
    <row r="46" ht="15.6" spans="1:28">
      <c r="A46" s="369"/>
      <c r="B46" s="458"/>
      <c r="C46" s="369"/>
      <c r="D46" s="369"/>
      <c r="E46" s="369"/>
      <c r="F46" s="369"/>
      <c r="G46" s="369"/>
      <c r="H46" s="369"/>
      <c r="I46" s="458"/>
      <c r="J46" s="369"/>
      <c r="K46" s="369"/>
      <c r="L46" s="369"/>
      <c r="M46" s="369"/>
      <c r="N46" s="369"/>
      <c r="O46" s="369"/>
      <c r="P46" s="464"/>
      <c r="Q46" s="359"/>
      <c r="R46" s="359"/>
      <c r="S46" s="359"/>
      <c r="T46" s="359"/>
      <c r="U46" s="359"/>
      <c r="V46" s="359"/>
      <c r="W46" s="359"/>
      <c r="X46" s="359"/>
      <c r="Y46" s="359"/>
      <c r="Z46" s="359"/>
      <c r="AA46" s="359"/>
      <c r="AB46" s="359"/>
    </row>
    <row r="47" ht="21" customHeight="1" spans="1:28">
      <c r="A47" s="369"/>
      <c r="B47" s="458"/>
      <c r="C47" s="369"/>
      <c r="D47" s="369"/>
      <c r="E47" s="369"/>
      <c r="F47" s="369"/>
      <c r="G47" s="369"/>
      <c r="H47" s="369"/>
      <c r="I47" s="458"/>
      <c r="J47" s="369"/>
      <c r="K47" s="369"/>
      <c r="L47" s="369"/>
      <c r="M47" s="369"/>
      <c r="N47" s="369"/>
      <c r="O47" s="369"/>
      <c r="P47" s="464"/>
      <c r="Q47" s="359"/>
      <c r="R47" s="359"/>
      <c r="S47" s="359"/>
      <c r="T47" s="359"/>
      <c r="U47" s="359"/>
      <c r="V47" s="359"/>
      <c r="W47" s="359"/>
      <c r="X47" s="359"/>
      <c r="Y47" s="359"/>
      <c r="Z47" s="359"/>
      <c r="AA47" s="359"/>
      <c r="AB47" s="359"/>
    </row>
    <row r="48" ht="16.35" spans="1:28">
      <c r="A48" s="359"/>
      <c r="B48" s="459"/>
      <c r="C48" s="460"/>
      <c r="D48" s="460"/>
      <c r="E48" s="460"/>
      <c r="F48" s="460"/>
      <c r="G48" s="460"/>
      <c r="H48" s="460"/>
      <c r="I48" s="459"/>
      <c r="J48" s="460"/>
      <c r="K48" s="460"/>
      <c r="L48" s="460"/>
      <c r="M48" s="460"/>
      <c r="N48" s="460"/>
      <c r="O48" s="460"/>
      <c r="P48" s="514"/>
      <c r="Q48" s="359"/>
      <c r="R48" s="359"/>
      <c r="S48" s="359"/>
      <c r="T48" s="359"/>
      <c r="U48" s="359"/>
      <c r="V48" s="359"/>
      <c r="W48" s="359"/>
      <c r="X48" s="359"/>
      <c r="Y48" s="359"/>
      <c r="Z48" s="359"/>
      <c r="AA48" s="359"/>
      <c r="AB48" s="359"/>
    </row>
    <row r="49" ht="17.4" spans="1:28">
      <c r="A49" s="359"/>
      <c r="B49" s="325" t="s">
        <v>101</v>
      </c>
      <c r="C49" s="319"/>
      <c r="D49" s="319"/>
      <c r="E49" s="319"/>
      <c r="F49" s="319"/>
      <c r="G49" s="319"/>
      <c r="H49" s="259"/>
      <c r="I49" s="325" t="s">
        <v>102</v>
      </c>
      <c r="J49" s="326"/>
      <c r="K49" s="326"/>
      <c r="L49" s="326"/>
      <c r="M49" s="326"/>
      <c r="N49" s="326"/>
      <c r="O49" s="326"/>
      <c r="P49" s="515"/>
      <c r="Q49" s="359"/>
      <c r="R49" s="359"/>
      <c r="S49" s="359"/>
      <c r="T49" s="359"/>
      <c r="U49" s="359"/>
      <c r="V49" s="359"/>
      <c r="W49" s="359"/>
      <c r="X49" s="359"/>
      <c r="Y49" s="359"/>
      <c r="Z49" s="359"/>
      <c r="AA49" s="359"/>
      <c r="AB49" s="359"/>
    </row>
    <row r="50" ht="15.6" spans="1:28">
      <c r="A50" s="359"/>
      <c r="B50" s="461"/>
      <c r="C50" s="257"/>
      <c r="D50" s="257"/>
      <c r="E50" s="257"/>
      <c r="F50" s="257"/>
      <c r="G50" s="257"/>
      <c r="H50" s="462"/>
      <c r="I50" s="461"/>
      <c r="J50" s="257"/>
      <c r="K50" s="257"/>
      <c r="L50" s="257"/>
      <c r="M50" s="257"/>
      <c r="N50" s="257"/>
      <c r="O50" s="257"/>
      <c r="P50" s="462"/>
      <c r="Q50" s="359"/>
      <c r="R50" s="359"/>
      <c r="S50" s="359"/>
      <c r="T50" s="359"/>
      <c r="U50" s="359"/>
      <c r="V50" s="359"/>
      <c r="W50" s="359"/>
      <c r="X50" s="359"/>
      <c r="Y50" s="359"/>
      <c r="Z50" s="359"/>
      <c r="AA50" s="359"/>
      <c r="AB50" s="359"/>
    </row>
    <row r="51" ht="15.6" spans="1:28">
      <c r="A51" s="359"/>
      <c r="B51" s="461"/>
      <c r="C51" s="257"/>
      <c r="D51" s="257"/>
      <c r="E51" s="257"/>
      <c r="F51" s="257"/>
      <c r="G51" s="257"/>
      <c r="H51" s="462"/>
      <c r="I51" s="461"/>
      <c r="J51" s="257"/>
      <c r="K51" s="257"/>
      <c r="L51" s="257"/>
      <c r="M51" s="257"/>
      <c r="N51" s="257"/>
      <c r="O51" s="257"/>
      <c r="P51" s="462"/>
      <c r="Q51" s="359"/>
      <c r="R51" s="359"/>
      <c r="S51" s="359"/>
      <c r="T51" s="359"/>
      <c r="U51" s="359"/>
      <c r="V51" s="359"/>
      <c r="W51" s="359"/>
      <c r="X51" s="359"/>
      <c r="Y51" s="359"/>
      <c r="Z51" s="359"/>
      <c r="AA51" s="359"/>
      <c r="AB51" s="359"/>
    </row>
    <row r="52" ht="15.6" spans="1:28">
      <c r="A52" s="359"/>
      <c r="B52" s="461"/>
      <c r="C52" s="257"/>
      <c r="D52" s="257"/>
      <c r="E52" s="257"/>
      <c r="F52" s="257"/>
      <c r="G52" s="257"/>
      <c r="H52" s="462"/>
      <c r="I52" s="461"/>
      <c r="J52" s="257"/>
      <c r="K52" s="257"/>
      <c r="L52" s="257"/>
      <c r="M52" s="257"/>
      <c r="N52" s="257"/>
      <c r="O52" s="257"/>
      <c r="P52" s="462"/>
      <c r="Q52" s="359"/>
      <c r="R52" s="359"/>
      <c r="S52" s="359"/>
      <c r="T52" s="359"/>
      <c r="U52" s="359"/>
      <c r="V52" s="359"/>
      <c r="W52" s="359"/>
      <c r="X52" s="359"/>
      <c r="Y52" s="359"/>
      <c r="Z52" s="359"/>
      <c r="AA52" s="359"/>
      <c r="AB52" s="359"/>
    </row>
    <row r="53" ht="15.6" spans="1:28">
      <c r="A53" s="359"/>
      <c r="B53" s="461"/>
      <c r="C53" s="257"/>
      <c r="D53" s="359"/>
      <c r="E53" s="359"/>
      <c r="F53" s="257"/>
      <c r="G53" s="257"/>
      <c r="H53" s="462"/>
      <c r="I53" s="461"/>
      <c r="J53" s="257"/>
      <c r="K53" s="257"/>
      <c r="L53" s="257"/>
      <c r="M53" s="257"/>
      <c r="N53" s="257"/>
      <c r="O53" s="257"/>
      <c r="P53" s="462"/>
      <c r="Q53" s="359"/>
      <c r="R53" s="359"/>
      <c r="S53" s="359"/>
      <c r="T53" s="359"/>
      <c r="U53" s="359"/>
      <c r="V53" s="359"/>
      <c r="W53" s="359"/>
      <c r="X53" s="359"/>
      <c r="Y53" s="359"/>
      <c r="Z53" s="359"/>
      <c r="AA53" s="359"/>
      <c r="AB53" s="359"/>
    </row>
    <row r="54" ht="15.6" spans="1:28">
      <c r="A54" s="359"/>
      <c r="B54" s="461"/>
      <c r="C54" s="463"/>
      <c r="D54" s="359"/>
      <c r="E54" s="359"/>
      <c r="F54" s="359"/>
      <c r="G54" s="359"/>
      <c r="H54" s="464"/>
      <c r="I54" s="461"/>
      <c r="J54" s="257"/>
      <c r="K54" s="257"/>
      <c r="L54" s="257"/>
      <c r="M54" s="257"/>
      <c r="N54" s="257"/>
      <c r="O54" s="257"/>
      <c r="P54" s="462"/>
      <c r="Q54" s="359"/>
      <c r="R54" s="359"/>
      <c r="S54" s="359"/>
      <c r="T54" s="359"/>
      <c r="U54" s="359"/>
      <c r="V54" s="359"/>
      <c r="W54" s="359"/>
      <c r="X54" s="359"/>
      <c r="Y54" s="359"/>
      <c r="Z54" s="359"/>
      <c r="AA54" s="359"/>
      <c r="AB54" s="359"/>
    </row>
    <row r="55" ht="15.6" spans="1:28">
      <c r="A55" s="359"/>
      <c r="B55" s="461"/>
      <c r="C55" s="463"/>
      <c r="D55" s="359"/>
      <c r="E55" s="359"/>
      <c r="F55" s="359"/>
      <c r="G55" s="359"/>
      <c r="H55" s="464"/>
      <c r="I55" s="461"/>
      <c r="J55" s="257"/>
      <c r="K55" s="257"/>
      <c r="L55" s="257"/>
      <c r="M55" s="257"/>
      <c r="N55" s="257"/>
      <c r="O55" s="257"/>
      <c r="P55" s="462"/>
      <c r="Q55" s="359"/>
      <c r="R55" s="359"/>
      <c r="S55" s="359"/>
      <c r="T55" s="359"/>
      <c r="U55" s="359"/>
      <c r="V55" s="359"/>
      <c r="W55" s="359"/>
      <c r="X55" s="359"/>
      <c r="Y55" s="359"/>
      <c r="Z55" s="359"/>
      <c r="AA55" s="359"/>
      <c r="AB55" s="359"/>
    </row>
    <row r="56" ht="15.6" spans="1:28">
      <c r="A56" s="359"/>
      <c r="B56" s="461"/>
      <c r="C56" s="257"/>
      <c r="D56" s="359"/>
      <c r="E56" s="359"/>
      <c r="F56" s="359"/>
      <c r="G56" s="359"/>
      <c r="H56" s="464"/>
      <c r="I56" s="461"/>
      <c r="J56" s="257"/>
      <c r="K56" s="257"/>
      <c r="L56" s="257"/>
      <c r="M56" s="257"/>
      <c r="N56" s="257"/>
      <c r="O56" s="257"/>
      <c r="P56" s="462"/>
      <c r="Q56" s="359"/>
      <c r="R56" s="359"/>
      <c r="S56" s="359"/>
      <c r="T56" s="359"/>
      <c r="U56" s="359"/>
      <c r="V56" s="359"/>
      <c r="W56" s="359"/>
      <c r="X56" s="359"/>
      <c r="Y56" s="359"/>
      <c r="Z56" s="359"/>
      <c r="AA56" s="359"/>
      <c r="AB56" s="359"/>
    </row>
    <row r="57" ht="15.6" spans="1:28">
      <c r="A57" s="359"/>
      <c r="B57" s="461"/>
      <c r="C57" s="257"/>
      <c r="D57" s="359"/>
      <c r="E57" s="359"/>
      <c r="F57" s="359"/>
      <c r="G57" s="359"/>
      <c r="H57" s="464"/>
      <c r="I57" s="461"/>
      <c r="J57" s="257"/>
      <c r="K57" s="257"/>
      <c r="L57" s="257"/>
      <c r="M57" s="257"/>
      <c r="N57" s="257"/>
      <c r="O57" s="257"/>
      <c r="P57" s="462"/>
      <c r="Q57" s="359"/>
      <c r="R57" s="359"/>
      <c r="S57" s="359"/>
      <c r="T57" s="359"/>
      <c r="U57" s="359"/>
      <c r="V57" s="359"/>
      <c r="W57" s="359"/>
      <c r="X57" s="359"/>
      <c r="Y57" s="359"/>
      <c r="Z57" s="359"/>
      <c r="AA57" s="359"/>
      <c r="AB57" s="359"/>
    </row>
    <row r="58" ht="15.6" spans="1:28">
      <c r="A58" s="359"/>
      <c r="B58" s="461"/>
      <c r="C58" s="257"/>
      <c r="D58" s="359"/>
      <c r="E58" s="359"/>
      <c r="F58" s="359"/>
      <c r="G58" s="359"/>
      <c r="H58" s="464"/>
      <c r="I58" s="461"/>
      <c r="J58" s="257"/>
      <c r="K58" s="257"/>
      <c r="L58" s="257"/>
      <c r="M58" s="257"/>
      <c r="N58" s="257"/>
      <c r="O58" s="257"/>
      <c r="P58" s="462"/>
      <c r="Q58" s="359"/>
      <c r="R58" s="359"/>
      <c r="S58" s="359"/>
      <c r="T58" s="359"/>
      <c r="U58" s="359"/>
      <c r="V58" s="359"/>
      <c r="W58" s="359"/>
      <c r="X58" s="359"/>
      <c r="Y58" s="359"/>
      <c r="Z58" s="359"/>
      <c r="AA58" s="359"/>
      <c r="AB58" s="359"/>
    </row>
    <row r="59" ht="15.6" spans="1:28">
      <c r="A59" s="359"/>
      <c r="B59" s="461"/>
      <c r="C59" s="257"/>
      <c r="D59" s="359"/>
      <c r="E59" s="359"/>
      <c r="F59" s="359"/>
      <c r="G59" s="359"/>
      <c r="H59" s="464"/>
      <c r="I59" s="461"/>
      <c r="J59" s="257"/>
      <c r="K59" s="257"/>
      <c r="L59" s="257"/>
      <c r="M59" s="257"/>
      <c r="N59" s="257"/>
      <c r="O59" s="257"/>
      <c r="P59" s="462"/>
      <c r="Q59" s="359"/>
      <c r="R59" s="359"/>
      <c r="S59" s="359"/>
      <c r="T59" s="359"/>
      <c r="U59" s="359"/>
      <c r="V59" s="359"/>
      <c r="W59" s="359"/>
      <c r="X59" s="359"/>
      <c r="Y59" s="359"/>
      <c r="Z59" s="359"/>
      <c r="AA59" s="359"/>
      <c r="AB59" s="359"/>
    </row>
    <row r="60" ht="15.6" spans="1:28">
      <c r="A60" s="359"/>
      <c r="B60" s="461"/>
      <c r="C60" s="257"/>
      <c r="D60" s="359"/>
      <c r="E60" s="359"/>
      <c r="F60" s="359"/>
      <c r="G60" s="359"/>
      <c r="H60" s="464"/>
      <c r="I60" s="461"/>
      <c r="J60" s="257"/>
      <c r="K60" s="257"/>
      <c r="L60" s="257"/>
      <c r="M60" s="257"/>
      <c r="N60" s="257"/>
      <c r="O60" s="257"/>
      <c r="P60" s="462"/>
      <c r="Q60" s="359"/>
      <c r="R60" s="359"/>
      <c r="S60" s="359"/>
      <c r="T60" s="359"/>
      <c r="U60" s="359"/>
      <c r="V60" s="359"/>
      <c r="W60" s="359"/>
      <c r="X60" s="359"/>
      <c r="Y60" s="359"/>
      <c r="Z60" s="359"/>
      <c r="AA60" s="359"/>
      <c r="AB60" s="359"/>
    </row>
    <row r="61" ht="15.6" spans="1:28">
      <c r="A61" s="359"/>
      <c r="B61" s="461"/>
      <c r="C61" s="257"/>
      <c r="D61" s="359"/>
      <c r="E61" s="359"/>
      <c r="F61" s="359"/>
      <c r="G61" s="359"/>
      <c r="H61" s="464"/>
      <c r="I61" s="461"/>
      <c r="J61" s="257"/>
      <c r="K61" s="257"/>
      <c r="L61" s="257"/>
      <c r="M61" s="257"/>
      <c r="N61" s="257"/>
      <c r="O61" s="257"/>
      <c r="P61" s="462"/>
      <c r="Q61" s="359"/>
      <c r="R61" s="359"/>
      <c r="S61" s="359"/>
      <c r="T61" s="359"/>
      <c r="U61" s="359"/>
      <c r="V61" s="359"/>
      <c r="W61" s="359"/>
      <c r="X61" s="359"/>
      <c r="Y61" s="359"/>
      <c r="Z61" s="359"/>
      <c r="AA61" s="359"/>
      <c r="AB61" s="359"/>
    </row>
    <row r="62" ht="15.6" spans="1:28">
      <c r="A62" s="359"/>
      <c r="B62" s="461"/>
      <c r="C62" s="257"/>
      <c r="D62" s="359"/>
      <c r="E62" s="359"/>
      <c r="F62" s="359"/>
      <c r="G62" s="359"/>
      <c r="H62" s="464"/>
      <c r="I62" s="461"/>
      <c r="J62" s="257"/>
      <c r="K62" s="257"/>
      <c r="L62" s="257"/>
      <c r="M62" s="257"/>
      <c r="N62" s="257"/>
      <c r="O62" s="257"/>
      <c r="P62" s="462"/>
      <c r="Q62" s="359"/>
      <c r="R62" s="359"/>
      <c r="S62" s="359"/>
      <c r="T62" s="359"/>
      <c r="U62" s="359"/>
      <c r="V62" s="359"/>
      <c r="W62" s="359"/>
      <c r="X62" s="359"/>
      <c r="Y62" s="359"/>
      <c r="Z62" s="359"/>
      <c r="AA62" s="359"/>
      <c r="AB62" s="359"/>
    </row>
    <row r="63" ht="15.6" spans="1:28">
      <c r="A63" s="359"/>
      <c r="B63" s="461"/>
      <c r="C63" s="257"/>
      <c r="D63" s="359"/>
      <c r="E63" s="359"/>
      <c r="F63" s="359"/>
      <c r="G63" s="359"/>
      <c r="H63" s="464"/>
      <c r="I63" s="461"/>
      <c r="J63" s="257"/>
      <c r="K63" s="257"/>
      <c r="L63" s="257"/>
      <c r="M63" s="257"/>
      <c r="N63" s="257"/>
      <c r="O63" s="257"/>
      <c r="P63" s="462"/>
      <c r="Q63" s="359"/>
      <c r="R63" s="359"/>
      <c r="S63" s="359"/>
      <c r="T63" s="359"/>
      <c r="U63" s="359"/>
      <c r="V63" s="359"/>
      <c r="W63" s="359"/>
      <c r="X63" s="359"/>
      <c r="Y63" s="359"/>
      <c r="Z63" s="359"/>
      <c r="AA63" s="359"/>
      <c r="AB63" s="359"/>
    </row>
    <row r="64" ht="15.6" spans="1:28">
      <c r="A64" s="359"/>
      <c r="B64" s="461"/>
      <c r="C64" s="257"/>
      <c r="D64" s="359"/>
      <c r="E64" s="359"/>
      <c r="F64" s="359"/>
      <c r="G64" s="359"/>
      <c r="H64" s="464"/>
      <c r="I64" s="461"/>
      <c r="J64" s="257"/>
      <c r="K64" s="257"/>
      <c r="L64" s="257"/>
      <c r="M64" s="257"/>
      <c r="N64" s="257"/>
      <c r="O64" s="257"/>
      <c r="P64" s="462"/>
      <c r="Q64" s="359"/>
      <c r="R64" s="359"/>
      <c r="S64" s="359"/>
      <c r="T64" s="359"/>
      <c r="U64" s="359"/>
      <c r="V64" s="359"/>
      <c r="W64" s="359"/>
      <c r="X64" s="359"/>
      <c r="Y64" s="359"/>
      <c r="Z64" s="359"/>
      <c r="AA64" s="359"/>
      <c r="AB64" s="359"/>
    </row>
    <row r="65" ht="16.35" spans="1:28">
      <c r="A65" s="359"/>
      <c r="B65" s="461"/>
      <c r="C65" s="463"/>
      <c r="D65" s="359"/>
      <c r="E65" s="359"/>
      <c r="F65" s="359"/>
      <c r="G65" s="359"/>
      <c r="H65" s="464"/>
      <c r="I65" s="461"/>
      <c r="J65" s="463"/>
      <c r="K65" s="463"/>
      <c r="L65" s="463"/>
      <c r="M65" s="463"/>
      <c r="N65" s="463"/>
      <c r="O65" s="463"/>
      <c r="P65" s="462"/>
      <c r="Q65" s="359"/>
      <c r="R65" s="359"/>
      <c r="S65" s="359"/>
      <c r="T65" s="359"/>
      <c r="U65" s="359"/>
      <c r="V65" s="359"/>
      <c r="W65" s="359"/>
      <c r="X65" s="359"/>
      <c r="Y65" s="359"/>
      <c r="Z65" s="359"/>
      <c r="AA65" s="359"/>
      <c r="AB65" s="359"/>
    </row>
    <row r="66" ht="15.6" spans="1:28">
      <c r="A66" s="543"/>
      <c r="B66" s="544"/>
      <c r="C66" s="545"/>
      <c r="D66" s="546"/>
      <c r="E66" s="546"/>
      <c r="F66" s="546"/>
      <c r="G66" s="546"/>
      <c r="H66" s="546"/>
      <c r="I66" s="545"/>
      <c r="J66" s="545"/>
      <c r="K66" s="545"/>
      <c r="L66" s="545"/>
      <c r="M66" s="545"/>
      <c r="N66" s="545"/>
      <c r="O66" s="545"/>
      <c r="P66" s="545"/>
      <c r="Q66" s="546"/>
      <c r="R66" s="546"/>
      <c r="S66" s="546"/>
      <c r="T66" s="586"/>
      <c r="U66" s="543"/>
      <c r="V66" s="359"/>
      <c r="W66" s="359"/>
      <c r="X66" s="359"/>
      <c r="Y66" s="359"/>
      <c r="Z66" s="359"/>
      <c r="AA66" s="359"/>
      <c r="AB66" s="359"/>
    </row>
    <row r="67" ht="15.6" spans="1:28">
      <c r="A67" s="543"/>
      <c r="B67" s="547"/>
      <c r="C67" s="548"/>
      <c r="D67" s="543"/>
      <c r="E67" s="543"/>
      <c r="F67" s="543"/>
      <c r="G67" s="543"/>
      <c r="H67" s="543"/>
      <c r="I67" s="575"/>
      <c r="J67" s="575"/>
      <c r="K67" s="575"/>
      <c r="L67" s="575"/>
      <c r="M67" s="575"/>
      <c r="N67" s="575"/>
      <c r="O67" s="575"/>
      <c r="P67" s="575"/>
      <c r="Q67" s="543"/>
      <c r="R67" s="543"/>
      <c r="S67" s="543"/>
      <c r="T67" s="587"/>
      <c r="U67" s="543"/>
      <c r="V67" s="359"/>
      <c r="W67" s="359"/>
      <c r="X67" s="359"/>
      <c r="Y67" s="359"/>
      <c r="Z67" s="359"/>
      <c r="AA67" s="359"/>
      <c r="AB67" s="359"/>
    </row>
    <row r="68" ht="15.6" spans="1:28">
      <c r="A68" s="543"/>
      <c r="B68" s="547"/>
      <c r="C68" s="548"/>
      <c r="D68" s="543"/>
      <c r="E68" s="543"/>
      <c r="F68" s="543"/>
      <c r="G68" s="543"/>
      <c r="H68" s="543"/>
      <c r="I68" s="575"/>
      <c r="J68" s="575"/>
      <c r="K68" s="575"/>
      <c r="L68" s="575"/>
      <c r="M68" s="575"/>
      <c r="N68" s="575"/>
      <c r="O68" s="575"/>
      <c r="P68" s="575"/>
      <c r="Q68" s="543"/>
      <c r="R68" s="543"/>
      <c r="S68" s="543"/>
      <c r="T68" s="587"/>
      <c r="U68" s="543"/>
      <c r="V68" s="359"/>
      <c r="W68" s="359"/>
      <c r="X68" s="359"/>
      <c r="Y68" s="359"/>
      <c r="Z68" s="359"/>
      <c r="AA68" s="359"/>
      <c r="AB68" s="359"/>
    </row>
    <row r="69" ht="15.6" spans="1:28">
      <c r="A69" s="543"/>
      <c r="B69" s="547"/>
      <c r="C69" s="548"/>
      <c r="D69" s="543"/>
      <c r="E69" s="543"/>
      <c r="F69" s="543"/>
      <c r="G69" s="543"/>
      <c r="H69" s="543"/>
      <c r="I69" s="575"/>
      <c r="J69" s="575"/>
      <c r="K69" s="575"/>
      <c r="L69" s="575"/>
      <c r="M69" s="575"/>
      <c r="N69" s="575"/>
      <c r="O69" s="575"/>
      <c r="P69" s="575"/>
      <c r="Q69" s="543"/>
      <c r="R69" s="543"/>
      <c r="S69" s="543"/>
      <c r="T69" s="587"/>
      <c r="U69" s="543"/>
      <c r="V69" s="359"/>
      <c r="W69" s="359"/>
      <c r="X69" s="359"/>
      <c r="Y69" s="359"/>
      <c r="Z69" s="359"/>
      <c r="AA69" s="359"/>
      <c r="AB69" s="359"/>
    </row>
    <row r="70" ht="15.6" spans="1:28">
      <c r="A70" s="543"/>
      <c r="B70" s="547"/>
      <c r="C70" s="548"/>
      <c r="D70" s="543"/>
      <c r="E70" s="543"/>
      <c r="F70" s="543"/>
      <c r="G70" s="543"/>
      <c r="H70" s="543"/>
      <c r="I70" s="575"/>
      <c r="J70" s="575"/>
      <c r="K70" s="575"/>
      <c r="L70" s="575"/>
      <c r="M70" s="575"/>
      <c r="N70" s="575"/>
      <c r="O70" s="575"/>
      <c r="P70" s="575"/>
      <c r="Q70" s="543"/>
      <c r="R70" s="543"/>
      <c r="S70" s="543"/>
      <c r="T70" s="587"/>
      <c r="U70" s="543"/>
      <c r="V70" s="359"/>
      <c r="W70" s="359"/>
      <c r="X70" s="359"/>
      <c r="Y70" s="359"/>
      <c r="Z70" s="359"/>
      <c r="AA70" s="359"/>
      <c r="AB70" s="359"/>
    </row>
    <row r="71" ht="15.6" spans="1:28">
      <c r="A71" s="543"/>
      <c r="B71" s="547"/>
      <c r="C71" s="548"/>
      <c r="D71" s="543"/>
      <c r="E71" s="543"/>
      <c r="F71" s="543"/>
      <c r="G71" s="543"/>
      <c r="H71" s="543"/>
      <c r="I71" s="575"/>
      <c r="J71" s="575"/>
      <c r="K71" s="575"/>
      <c r="L71" s="575"/>
      <c r="M71" s="575"/>
      <c r="N71" s="575"/>
      <c r="O71" s="575"/>
      <c r="P71" s="575"/>
      <c r="Q71" s="543"/>
      <c r="R71" s="543"/>
      <c r="S71" s="543"/>
      <c r="T71" s="587"/>
      <c r="U71" s="543"/>
      <c r="V71" s="359"/>
      <c r="W71" s="359"/>
      <c r="X71" s="359"/>
      <c r="Y71" s="359"/>
      <c r="Z71" s="359"/>
      <c r="AA71" s="359"/>
      <c r="AB71" s="359"/>
    </row>
    <row r="72" ht="15.6" spans="1:28">
      <c r="A72" s="543"/>
      <c r="B72" s="547"/>
      <c r="C72" s="548"/>
      <c r="D72" s="543"/>
      <c r="E72" s="543"/>
      <c r="F72" s="543"/>
      <c r="G72" s="543"/>
      <c r="H72" s="543"/>
      <c r="I72" s="575"/>
      <c r="J72" s="575"/>
      <c r="K72" s="575"/>
      <c r="L72" s="575"/>
      <c r="M72" s="575"/>
      <c r="N72" s="575"/>
      <c r="O72" s="575"/>
      <c r="P72" s="575"/>
      <c r="Q72" s="543"/>
      <c r="R72" s="543"/>
      <c r="S72" s="543"/>
      <c r="T72" s="587"/>
      <c r="U72" s="543"/>
      <c r="V72" s="359"/>
      <c r="W72" s="359"/>
      <c r="X72" s="359"/>
      <c r="Y72" s="359"/>
      <c r="Z72" s="359"/>
      <c r="AA72" s="359"/>
      <c r="AB72" s="359"/>
    </row>
    <row r="73" ht="15.6" spans="1:28">
      <c r="A73" s="543"/>
      <c r="B73" s="547"/>
      <c r="C73" s="548"/>
      <c r="D73" s="543"/>
      <c r="E73" s="543"/>
      <c r="F73" s="543"/>
      <c r="G73" s="543"/>
      <c r="H73" s="543"/>
      <c r="I73" s="575"/>
      <c r="J73" s="575"/>
      <c r="K73" s="575"/>
      <c r="L73" s="575"/>
      <c r="M73" s="575"/>
      <c r="N73" s="575"/>
      <c r="O73" s="575"/>
      <c r="P73" s="575"/>
      <c r="Q73" s="543"/>
      <c r="R73" s="543"/>
      <c r="S73" s="543"/>
      <c r="T73" s="587"/>
      <c r="U73" s="543"/>
      <c r="V73" s="359"/>
      <c r="W73" s="359"/>
      <c r="X73" s="359"/>
      <c r="Y73" s="359"/>
      <c r="Z73" s="359"/>
      <c r="AA73" s="359"/>
      <c r="AB73" s="359"/>
    </row>
    <row r="74" ht="15.6" spans="1:28">
      <c r="A74" s="543"/>
      <c r="B74" s="547"/>
      <c r="C74" s="548"/>
      <c r="D74" s="543"/>
      <c r="E74" s="543"/>
      <c r="F74" s="543"/>
      <c r="G74" s="543"/>
      <c r="H74" s="543"/>
      <c r="I74" s="575"/>
      <c r="J74" s="575"/>
      <c r="K74" s="575"/>
      <c r="L74" s="575"/>
      <c r="M74" s="575"/>
      <c r="N74" s="575"/>
      <c r="O74" s="575"/>
      <c r="P74" s="575"/>
      <c r="Q74" s="543"/>
      <c r="R74" s="543"/>
      <c r="S74" s="543"/>
      <c r="T74" s="587"/>
      <c r="U74" s="543"/>
      <c r="V74" s="359"/>
      <c r="W74" s="359"/>
      <c r="X74" s="359"/>
      <c r="Y74" s="359"/>
      <c r="Z74" s="359"/>
      <c r="AA74" s="359"/>
      <c r="AB74" s="359"/>
    </row>
    <row r="75" ht="15.6" spans="1:28">
      <c r="A75" s="543"/>
      <c r="B75" s="547"/>
      <c r="C75" s="548"/>
      <c r="D75" s="543"/>
      <c r="E75" s="543"/>
      <c r="F75" s="543"/>
      <c r="G75" s="543"/>
      <c r="H75" s="543"/>
      <c r="I75" s="575"/>
      <c r="J75" s="575"/>
      <c r="K75" s="575"/>
      <c r="L75" s="575"/>
      <c r="M75" s="575"/>
      <c r="N75" s="575"/>
      <c r="O75" s="575"/>
      <c r="P75" s="575"/>
      <c r="Q75" s="543"/>
      <c r="R75" s="543"/>
      <c r="S75" s="543"/>
      <c r="T75" s="587"/>
      <c r="U75" s="543"/>
      <c r="V75" s="359"/>
      <c r="W75" s="359"/>
      <c r="X75" s="359"/>
      <c r="Y75" s="359"/>
      <c r="Z75" s="359"/>
      <c r="AA75" s="359"/>
      <c r="AB75" s="359"/>
    </row>
    <row r="76" ht="15.6" spans="1:28">
      <c r="A76" s="543"/>
      <c r="B76" s="547"/>
      <c r="C76" s="548"/>
      <c r="D76" s="543"/>
      <c r="E76" s="543"/>
      <c r="F76" s="543"/>
      <c r="G76" s="543"/>
      <c r="H76" s="543"/>
      <c r="I76" s="575"/>
      <c r="J76" s="575"/>
      <c r="K76" s="575"/>
      <c r="L76" s="575"/>
      <c r="M76" s="575"/>
      <c r="N76" s="575"/>
      <c r="O76" s="575"/>
      <c r="P76" s="575"/>
      <c r="Q76" s="543"/>
      <c r="R76" s="543"/>
      <c r="S76" s="543"/>
      <c r="T76" s="587"/>
      <c r="U76" s="543"/>
      <c r="V76" s="359"/>
      <c r="W76" s="359"/>
      <c r="X76" s="359"/>
      <c r="Y76" s="359"/>
      <c r="Z76" s="359"/>
      <c r="AA76" s="359"/>
      <c r="AB76" s="359"/>
    </row>
    <row r="77" ht="15.6" spans="1:28">
      <c r="A77" s="543"/>
      <c r="B77" s="547"/>
      <c r="C77" s="548"/>
      <c r="D77" s="543"/>
      <c r="E77" s="543"/>
      <c r="F77" s="543"/>
      <c r="G77" s="543"/>
      <c r="H77" s="543"/>
      <c r="I77" s="575"/>
      <c r="J77" s="575"/>
      <c r="K77" s="575"/>
      <c r="L77" s="575"/>
      <c r="M77" s="575"/>
      <c r="N77" s="575"/>
      <c r="O77" s="575"/>
      <c r="P77" s="575"/>
      <c r="Q77" s="543"/>
      <c r="R77" s="543"/>
      <c r="S77" s="543"/>
      <c r="T77" s="587"/>
      <c r="U77" s="543"/>
      <c r="V77" s="359"/>
      <c r="W77" s="359"/>
      <c r="X77" s="359"/>
      <c r="Y77" s="359"/>
      <c r="Z77" s="359"/>
      <c r="AA77" s="359"/>
      <c r="AB77" s="359"/>
    </row>
    <row r="78" ht="15.6" spans="1:28">
      <c r="A78" s="543"/>
      <c r="B78" s="547"/>
      <c r="C78" s="548"/>
      <c r="D78" s="543"/>
      <c r="E78" s="543"/>
      <c r="F78" s="543"/>
      <c r="G78" s="543"/>
      <c r="H78" s="543"/>
      <c r="I78" s="575"/>
      <c r="J78" s="575"/>
      <c r="K78" s="575"/>
      <c r="L78" s="575"/>
      <c r="M78" s="575"/>
      <c r="N78" s="575"/>
      <c r="O78" s="575"/>
      <c r="P78" s="575"/>
      <c r="Q78" s="543"/>
      <c r="R78" s="543"/>
      <c r="S78" s="543"/>
      <c r="T78" s="587"/>
      <c r="U78" s="543"/>
      <c r="V78" s="359"/>
      <c r="W78" s="359"/>
      <c r="X78" s="359"/>
      <c r="Y78" s="359"/>
      <c r="Z78" s="359"/>
      <c r="AA78" s="359"/>
      <c r="AB78" s="359"/>
    </row>
    <row r="79" ht="15.6" spans="1:28">
      <c r="A79" s="543"/>
      <c r="B79" s="547"/>
      <c r="C79" s="548"/>
      <c r="D79" s="543"/>
      <c r="E79" s="543"/>
      <c r="F79" s="543"/>
      <c r="G79" s="543"/>
      <c r="H79" s="543"/>
      <c r="I79" s="575"/>
      <c r="J79" s="575"/>
      <c r="K79" s="575"/>
      <c r="L79" s="575"/>
      <c r="M79" s="575"/>
      <c r="N79" s="575"/>
      <c r="O79" s="575"/>
      <c r="P79" s="575"/>
      <c r="Q79" s="543"/>
      <c r="R79" s="543"/>
      <c r="S79" s="543"/>
      <c r="T79" s="587"/>
      <c r="U79" s="543"/>
      <c r="V79" s="359"/>
      <c r="W79" s="359"/>
      <c r="X79" s="359"/>
      <c r="Y79" s="359"/>
      <c r="Z79" s="359"/>
      <c r="AA79" s="359"/>
      <c r="AB79" s="359"/>
    </row>
    <row r="80" ht="15.6" spans="1:28">
      <c r="A80" s="543"/>
      <c r="B80" s="547"/>
      <c r="C80" s="548"/>
      <c r="D80" s="543"/>
      <c r="E80" s="543"/>
      <c r="F80" s="543"/>
      <c r="G80" s="543"/>
      <c r="H80" s="543"/>
      <c r="I80" s="575"/>
      <c r="J80" s="575"/>
      <c r="K80" s="575"/>
      <c r="L80" s="575"/>
      <c r="M80" s="575"/>
      <c r="N80" s="575"/>
      <c r="O80" s="575"/>
      <c r="P80" s="575"/>
      <c r="Q80" s="543"/>
      <c r="R80" s="543"/>
      <c r="S80" s="543"/>
      <c r="T80" s="587"/>
      <c r="U80" s="543"/>
      <c r="V80" s="359"/>
      <c r="W80" s="359"/>
      <c r="X80" s="359"/>
      <c r="Y80" s="359"/>
      <c r="Z80" s="359"/>
      <c r="AA80" s="359"/>
      <c r="AB80" s="359"/>
    </row>
    <row r="81" ht="15.6" spans="1:28">
      <c r="A81" s="543"/>
      <c r="B81" s="547"/>
      <c r="C81" s="548"/>
      <c r="D81" s="543"/>
      <c r="E81" s="543"/>
      <c r="F81" s="543"/>
      <c r="G81" s="543"/>
      <c r="H81" s="543"/>
      <c r="I81" s="575"/>
      <c r="J81" s="575"/>
      <c r="K81" s="575"/>
      <c r="L81" s="575"/>
      <c r="M81" s="575"/>
      <c r="N81" s="575"/>
      <c r="O81" s="575"/>
      <c r="P81" s="575"/>
      <c r="Q81" s="543"/>
      <c r="R81" s="543"/>
      <c r="S81" s="543"/>
      <c r="T81" s="587"/>
      <c r="U81" s="543"/>
      <c r="V81" s="359"/>
      <c r="W81" s="359"/>
      <c r="X81" s="359"/>
      <c r="Y81" s="359"/>
      <c r="Z81" s="359"/>
      <c r="AA81" s="359"/>
      <c r="AB81" s="359"/>
    </row>
    <row r="82" ht="15.6" spans="1:28">
      <c r="A82" s="543"/>
      <c r="B82" s="547"/>
      <c r="C82" s="548"/>
      <c r="D82" s="543"/>
      <c r="E82" s="543"/>
      <c r="F82" s="543"/>
      <c r="G82" s="543"/>
      <c r="H82" s="543"/>
      <c r="I82" s="575"/>
      <c r="J82" s="575"/>
      <c r="K82" s="575"/>
      <c r="L82" s="575"/>
      <c r="M82" s="575"/>
      <c r="N82" s="575"/>
      <c r="O82" s="575"/>
      <c r="P82" s="575"/>
      <c r="Q82" s="543"/>
      <c r="R82" s="543"/>
      <c r="S82" s="543"/>
      <c r="T82" s="587"/>
      <c r="U82" s="543"/>
      <c r="V82" s="359"/>
      <c r="W82" s="359"/>
      <c r="X82" s="359"/>
      <c r="Y82" s="359"/>
      <c r="Z82" s="359"/>
      <c r="AA82" s="359"/>
      <c r="AB82" s="359"/>
    </row>
    <row r="83" ht="15.6" spans="1:28">
      <c r="A83" s="543"/>
      <c r="B83" s="547"/>
      <c r="C83" s="548"/>
      <c r="D83" s="543"/>
      <c r="E83" s="543"/>
      <c r="F83" s="543"/>
      <c r="G83" s="543"/>
      <c r="H83" s="543"/>
      <c r="I83" s="575"/>
      <c r="J83" s="575"/>
      <c r="K83" s="575"/>
      <c r="L83" s="575"/>
      <c r="M83" s="575"/>
      <c r="N83" s="575"/>
      <c r="O83" s="575"/>
      <c r="P83" s="575"/>
      <c r="Q83" s="543"/>
      <c r="R83" s="543"/>
      <c r="S83" s="543"/>
      <c r="T83" s="587"/>
      <c r="U83" s="543"/>
      <c r="V83" s="359"/>
      <c r="W83" s="359"/>
      <c r="X83" s="359"/>
      <c r="Y83" s="359"/>
      <c r="Z83" s="359"/>
      <c r="AA83" s="359"/>
      <c r="AB83" s="359"/>
    </row>
    <row r="84" ht="15.6" spans="1:28">
      <c r="A84" s="543"/>
      <c r="B84" s="547"/>
      <c r="C84" s="548"/>
      <c r="D84" s="543"/>
      <c r="E84" s="543"/>
      <c r="F84" s="543"/>
      <c r="G84" s="543"/>
      <c r="H84" s="543"/>
      <c r="I84" s="575"/>
      <c r="J84" s="575"/>
      <c r="K84" s="575"/>
      <c r="L84" s="575"/>
      <c r="M84" s="575"/>
      <c r="N84" s="575"/>
      <c r="O84" s="575"/>
      <c r="P84" s="575"/>
      <c r="Q84" s="543"/>
      <c r="R84" s="543"/>
      <c r="S84" s="543"/>
      <c r="T84" s="587"/>
      <c r="U84" s="543"/>
      <c r="V84" s="359"/>
      <c r="W84" s="359"/>
      <c r="X84" s="359"/>
      <c r="Y84" s="359"/>
      <c r="Z84" s="359"/>
      <c r="AA84" s="359"/>
      <c r="AB84" s="359"/>
    </row>
    <row r="85" ht="15.6" spans="1:28">
      <c r="A85" s="543"/>
      <c r="B85" s="547"/>
      <c r="C85" s="548"/>
      <c r="D85" s="543"/>
      <c r="E85" s="543"/>
      <c r="F85" s="543"/>
      <c r="G85" s="543"/>
      <c r="H85" s="543"/>
      <c r="I85" s="575"/>
      <c r="J85" s="575"/>
      <c r="K85" s="575"/>
      <c r="L85" s="575"/>
      <c r="M85" s="575"/>
      <c r="N85" s="575"/>
      <c r="O85" s="575"/>
      <c r="P85" s="575"/>
      <c r="Q85" s="543"/>
      <c r="R85" s="543"/>
      <c r="S85" s="543"/>
      <c r="T85" s="587"/>
      <c r="U85" s="543"/>
      <c r="V85" s="359"/>
      <c r="W85" s="359"/>
      <c r="X85" s="359"/>
      <c r="Y85" s="359"/>
      <c r="Z85" s="359"/>
      <c r="AA85" s="359"/>
      <c r="AB85" s="359"/>
    </row>
    <row r="86" ht="15.6" spans="1:28">
      <c r="A86" s="543"/>
      <c r="B86" s="547"/>
      <c r="C86" s="548"/>
      <c r="D86" s="543"/>
      <c r="E86" s="543"/>
      <c r="F86" s="543"/>
      <c r="G86" s="543"/>
      <c r="H86" s="543"/>
      <c r="I86" s="575"/>
      <c r="J86" s="575"/>
      <c r="K86" s="575"/>
      <c r="L86" s="575"/>
      <c r="M86" s="575"/>
      <c r="N86" s="575"/>
      <c r="O86" s="575"/>
      <c r="P86" s="575"/>
      <c r="Q86" s="543"/>
      <c r="R86" s="543"/>
      <c r="S86" s="543"/>
      <c r="T86" s="587"/>
      <c r="U86" s="543"/>
      <c r="V86" s="359"/>
      <c r="W86" s="359"/>
      <c r="X86" s="359"/>
      <c r="Y86" s="359"/>
      <c r="Z86" s="359"/>
      <c r="AA86" s="359"/>
      <c r="AB86" s="359"/>
    </row>
    <row r="87" ht="15.6" spans="1:28">
      <c r="A87" s="543"/>
      <c r="B87" s="547"/>
      <c r="C87" s="548"/>
      <c r="D87" s="543"/>
      <c r="E87" s="543"/>
      <c r="F87" s="543"/>
      <c r="G87" s="543"/>
      <c r="H87" s="543"/>
      <c r="I87" s="575"/>
      <c r="J87" s="575"/>
      <c r="K87" s="575"/>
      <c r="L87" s="575"/>
      <c r="M87" s="575"/>
      <c r="N87" s="575"/>
      <c r="O87" s="575"/>
      <c r="P87" s="575"/>
      <c r="Q87" s="543"/>
      <c r="R87" s="543"/>
      <c r="S87" s="543"/>
      <c r="T87" s="587"/>
      <c r="U87" s="543"/>
      <c r="V87" s="359"/>
      <c r="W87" s="359"/>
      <c r="X87" s="359"/>
      <c r="Y87" s="359"/>
      <c r="Z87" s="359"/>
      <c r="AA87" s="359"/>
      <c r="AB87" s="359"/>
    </row>
    <row r="88" ht="15.6" spans="1:28">
      <c r="A88" s="543"/>
      <c r="B88" s="547"/>
      <c r="C88" s="548"/>
      <c r="D88" s="543"/>
      <c r="E88" s="543"/>
      <c r="F88" s="543"/>
      <c r="G88" s="543"/>
      <c r="H88" s="543"/>
      <c r="I88" s="575"/>
      <c r="J88" s="575"/>
      <c r="K88" s="575"/>
      <c r="L88" s="575"/>
      <c r="M88" s="575"/>
      <c r="N88" s="575"/>
      <c r="O88" s="575"/>
      <c r="P88" s="575"/>
      <c r="Q88" s="543"/>
      <c r="R88" s="543"/>
      <c r="S88" s="543"/>
      <c r="T88" s="587"/>
      <c r="U88" s="543"/>
      <c r="V88" s="359"/>
      <c r="W88" s="359"/>
      <c r="X88" s="359"/>
      <c r="Y88" s="359"/>
      <c r="Z88" s="359"/>
      <c r="AA88" s="359"/>
      <c r="AB88" s="359"/>
    </row>
    <row r="89" ht="15.6" spans="1:28">
      <c r="A89" s="543"/>
      <c r="B89" s="547"/>
      <c r="C89" s="548"/>
      <c r="D89" s="543"/>
      <c r="E89" s="543"/>
      <c r="F89" s="543"/>
      <c r="G89" s="543"/>
      <c r="H89" s="543"/>
      <c r="I89" s="575"/>
      <c r="J89" s="575"/>
      <c r="K89" s="575"/>
      <c r="L89" s="575"/>
      <c r="M89" s="575"/>
      <c r="N89" s="575"/>
      <c r="O89" s="575"/>
      <c r="P89" s="575"/>
      <c r="Q89" s="543"/>
      <c r="R89" s="543"/>
      <c r="S89" s="543"/>
      <c r="T89" s="587"/>
      <c r="U89" s="543"/>
      <c r="V89" s="359"/>
      <c r="W89" s="359"/>
      <c r="X89" s="359"/>
      <c r="Y89" s="359"/>
      <c r="Z89" s="359"/>
      <c r="AA89" s="359"/>
      <c r="AB89" s="359"/>
    </row>
    <row r="90" ht="15.6" spans="1:28">
      <c r="A90" s="543"/>
      <c r="B90" s="547"/>
      <c r="C90" s="548"/>
      <c r="D90" s="543"/>
      <c r="E90" s="543"/>
      <c r="F90" s="543"/>
      <c r="G90" s="543"/>
      <c r="H90" s="543"/>
      <c r="I90" s="575"/>
      <c r="J90" s="575"/>
      <c r="K90" s="575"/>
      <c r="L90" s="575"/>
      <c r="M90" s="575"/>
      <c r="N90" s="575"/>
      <c r="O90" s="575"/>
      <c r="P90" s="575"/>
      <c r="Q90" s="543"/>
      <c r="R90" s="543"/>
      <c r="S90" s="543"/>
      <c r="T90" s="587"/>
      <c r="U90" s="543"/>
      <c r="V90" s="359"/>
      <c r="W90" s="359"/>
      <c r="X90" s="359"/>
      <c r="Y90" s="359"/>
      <c r="Z90" s="359"/>
      <c r="AA90" s="359"/>
      <c r="AB90" s="359"/>
    </row>
    <row r="91" ht="15.6" spans="1:28">
      <c r="A91" s="543"/>
      <c r="B91" s="547"/>
      <c r="C91" s="548"/>
      <c r="D91" s="543"/>
      <c r="E91" s="543"/>
      <c r="F91" s="543"/>
      <c r="G91" s="543"/>
      <c r="H91" s="543"/>
      <c r="I91" s="575"/>
      <c r="J91" s="575"/>
      <c r="K91" s="575"/>
      <c r="L91" s="575"/>
      <c r="M91" s="575"/>
      <c r="N91" s="575"/>
      <c r="O91" s="575"/>
      <c r="P91" s="575"/>
      <c r="Q91" s="543"/>
      <c r="R91" s="543"/>
      <c r="S91" s="543"/>
      <c r="T91" s="587"/>
      <c r="U91" s="543"/>
      <c r="V91" s="359"/>
      <c r="W91" s="359"/>
      <c r="X91" s="359"/>
      <c r="Y91" s="359"/>
      <c r="Z91" s="359"/>
      <c r="AA91" s="359"/>
      <c r="AB91" s="359"/>
    </row>
    <row r="92" ht="15.6" spans="1:28">
      <c r="A92" s="543"/>
      <c r="B92" s="547"/>
      <c r="C92" s="548"/>
      <c r="D92" s="543"/>
      <c r="E92" s="543"/>
      <c r="F92" s="543"/>
      <c r="G92" s="543"/>
      <c r="H92" s="543"/>
      <c r="I92" s="575"/>
      <c r="J92" s="575"/>
      <c r="K92" s="575"/>
      <c r="L92" s="575"/>
      <c r="M92" s="575"/>
      <c r="N92" s="575"/>
      <c r="O92" s="575"/>
      <c r="P92" s="575"/>
      <c r="Q92" s="543"/>
      <c r="R92" s="543"/>
      <c r="S92" s="543"/>
      <c r="T92" s="587"/>
      <c r="U92" s="543"/>
      <c r="V92" s="359"/>
      <c r="W92" s="359"/>
      <c r="X92" s="359"/>
      <c r="Y92" s="359"/>
      <c r="Z92" s="359"/>
      <c r="AA92" s="359"/>
      <c r="AB92" s="359"/>
    </row>
    <row r="93" ht="15.6" spans="1:28">
      <c r="A93" s="543"/>
      <c r="B93" s="547"/>
      <c r="C93" s="548"/>
      <c r="D93" s="543"/>
      <c r="E93" s="543"/>
      <c r="F93" s="543"/>
      <c r="G93" s="543"/>
      <c r="H93" s="543"/>
      <c r="I93" s="575"/>
      <c r="J93" s="575"/>
      <c r="K93" s="575"/>
      <c r="L93" s="575"/>
      <c r="M93" s="575"/>
      <c r="N93" s="575"/>
      <c r="O93" s="575"/>
      <c r="P93" s="575"/>
      <c r="Q93" s="543"/>
      <c r="R93" s="543"/>
      <c r="S93" s="543"/>
      <c r="T93" s="587"/>
      <c r="U93" s="543"/>
      <c r="V93" s="359"/>
      <c r="W93" s="359"/>
      <c r="X93" s="359"/>
      <c r="Y93" s="359"/>
      <c r="Z93" s="359"/>
      <c r="AA93" s="359"/>
      <c r="AB93" s="359"/>
    </row>
    <row r="94" ht="15.6" spans="1:28">
      <c r="A94" s="543"/>
      <c r="B94" s="547"/>
      <c r="C94" s="548"/>
      <c r="D94" s="543"/>
      <c r="E94" s="543"/>
      <c r="F94" s="543"/>
      <c r="G94" s="543"/>
      <c r="H94" s="543"/>
      <c r="I94" s="575"/>
      <c r="J94" s="575"/>
      <c r="K94" s="575"/>
      <c r="L94" s="575"/>
      <c r="M94" s="575"/>
      <c r="N94" s="575"/>
      <c r="O94" s="575"/>
      <c r="P94" s="575"/>
      <c r="Q94" s="543"/>
      <c r="R94" s="543"/>
      <c r="S94" s="543"/>
      <c r="T94" s="587"/>
      <c r="U94" s="543"/>
      <c r="V94" s="359"/>
      <c r="W94" s="359"/>
      <c r="X94" s="359"/>
      <c r="Y94" s="359"/>
      <c r="Z94" s="359"/>
      <c r="AA94" s="359"/>
      <c r="AB94" s="359"/>
    </row>
    <row r="95" ht="15.6" spans="1:28">
      <c r="A95" s="543"/>
      <c r="B95" s="547"/>
      <c r="C95" s="548"/>
      <c r="D95" s="543"/>
      <c r="E95" s="543"/>
      <c r="F95" s="543"/>
      <c r="G95" s="543"/>
      <c r="H95" s="543"/>
      <c r="I95" s="575"/>
      <c r="J95" s="575"/>
      <c r="K95" s="575"/>
      <c r="L95" s="575"/>
      <c r="M95" s="575"/>
      <c r="N95" s="575"/>
      <c r="O95" s="575"/>
      <c r="P95" s="575"/>
      <c r="Q95" s="543"/>
      <c r="R95" s="543"/>
      <c r="S95" s="543"/>
      <c r="T95" s="587"/>
      <c r="U95" s="543"/>
      <c r="V95" s="359"/>
      <c r="W95" s="359"/>
      <c r="X95" s="359"/>
      <c r="Y95" s="359"/>
      <c r="Z95" s="359"/>
      <c r="AA95" s="359"/>
      <c r="AB95" s="359"/>
    </row>
    <row r="96" ht="15.6" spans="1:28">
      <c r="A96" s="543"/>
      <c r="B96" s="547"/>
      <c r="C96" s="548"/>
      <c r="D96" s="543"/>
      <c r="E96" s="543"/>
      <c r="F96" s="543"/>
      <c r="G96" s="543"/>
      <c r="H96" s="543"/>
      <c r="I96" s="543"/>
      <c r="J96" s="543"/>
      <c r="K96" s="543"/>
      <c r="L96" s="543"/>
      <c r="M96" s="543"/>
      <c r="N96" s="543"/>
      <c r="O96" s="543"/>
      <c r="P96" s="543"/>
      <c r="Q96" s="543"/>
      <c r="R96" s="543"/>
      <c r="S96" s="543"/>
      <c r="T96" s="587"/>
      <c r="U96" s="543"/>
      <c r="V96" s="359"/>
      <c r="W96" s="359"/>
      <c r="X96" s="359"/>
      <c r="Y96" s="359"/>
      <c r="Z96" s="359"/>
      <c r="AA96" s="359"/>
      <c r="AB96" s="359"/>
    </row>
    <row r="97" ht="15.6" spans="1:28">
      <c r="A97" s="543"/>
      <c r="B97" s="547"/>
      <c r="C97" s="548"/>
      <c r="D97" s="543"/>
      <c r="E97" s="543"/>
      <c r="F97" s="543"/>
      <c r="G97" s="543"/>
      <c r="H97" s="543"/>
      <c r="I97" s="543"/>
      <c r="J97" s="543"/>
      <c r="K97" s="543"/>
      <c r="L97" s="543"/>
      <c r="M97" s="543"/>
      <c r="N97" s="543"/>
      <c r="O97" s="543"/>
      <c r="P97" s="543"/>
      <c r="Q97" s="543"/>
      <c r="R97" s="543"/>
      <c r="S97" s="543"/>
      <c r="T97" s="587"/>
      <c r="U97" s="543"/>
      <c r="V97" s="359"/>
      <c r="W97" s="359"/>
      <c r="X97" s="359"/>
      <c r="Y97" s="359"/>
      <c r="Z97" s="359"/>
      <c r="AA97" s="359"/>
      <c r="AB97" s="359"/>
    </row>
    <row r="98" ht="16.35" spans="1:28">
      <c r="A98" s="543"/>
      <c r="B98" s="549"/>
      <c r="C98" s="550"/>
      <c r="D98" s="551"/>
      <c r="E98" s="551"/>
      <c r="F98" s="551"/>
      <c r="G98" s="551"/>
      <c r="H98" s="551"/>
      <c r="I98" s="551"/>
      <c r="J98" s="551"/>
      <c r="K98" s="551"/>
      <c r="L98" s="551"/>
      <c r="M98" s="551"/>
      <c r="N98" s="551"/>
      <c r="O98" s="551"/>
      <c r="P98" s="551"/>
      <c r="Q98" s="551"/>
      <c r="R98" s="551"/>
      <c r="S98" s="551"/>
      <c r="T98" s="588"/>
      <c r="U98" s="543"/>
      <c r="V98" s="359"/>
      <c r="W98" s="359"/>
      <c r="X98" s="359"/>
      <c r="Y98" s="359"/>
      <c r="Z98" s="359"/>
      <c r="AA98" s="359"/>
      <c r="AB98" s="359"/>
    </row>
    <row r="99" ht="15.6" spans="1:28">
      <c r="A99" s="543"/>
      <c r="B99" s="548"/>
      <c r="C99" s="548"/>
      <c r="D99" s="543"/>
      <c r="E99" s="543"/>
      <c r="F99" s="543"/>
      <c r="G99" s="543"/>
      <c r="H99" s="543"/>
      <c r="I99" s="543"/>
      <c r="J99" s="543"/>
      <c r="K99" s="543"/>
      <c r="L99" s="543"/>
      <c r="M99" s="543"/>
      <c r="N99" s="543"/>
      <c r="O99" s="543"/>
      <c r="P99" s="543"/>
      <c r="Q99" s="543"/>
      <c r="R99" s="543"/>
      <c r="S99" s="543"/>
      <c r="T99" s="543"/>
      <c r="U99" s="543"/>
      <c r="V99" s="359"/>
      <c r="W99" s="359"/>
      <c r="X99" s="359"/>
      <c r="Y99" s="359"/>
      <c r="Z99" s="359"/>
      <c r="AA99" s="359"/>
      <c r="AB99" s="359"/>
    </row>
    <row r="100" ht="15.6" spans="1:28">
      <c r="A100" s="543"/>
      <c r="B100" s="548"/>
      <c r="C100" s="548"/>
      <c r="D100" s="543"/>
      <c r="E100" s="543"/>
      <c r="F100" s="543"/>
      <c r="G100" s="543"/>
      <c r="H100" s="543"/>
      <c r="I100" s="543"/>
      <c r="J100" s="543"/>
      <c r="K100" s="543"/>
      <c r="L100" s="543"/>
      <c r="M100" s="543"/>
      <c r="N100" s="543"/>
      <c r="O100" s="543"/>
      <c r="P100" s="543"/>
      <c r="Q100" s="543"/>
      <c r="R100" s="543"/>
      <c r="S100" s="543"/>
      <c r="T100" s="543"/>
      <c r="U100" s="543"/>
      <c r="V100" s="359"/>
      <c r="W100" s="359"/>
      <c r="X100" s="359"/>
      <c r="Y100" s="359"/>
      <c r="Z100" s="359"/>
      <c r="AA100" s="359"/>
      <c r="AB100" s="359"/>
    </row>
    <row r="101" ht="15.6" spans="1:28">
      <c r="A101" s="543"/>
      <c r="B101" s="548"/>
      <c r="C101" s="548"/>
      <c r="D101" s="543"/>
      <c r="E101" s="543"/>
      <c r="F101" s="543"/>
      <c r="G101" s="543"/>
      <c r="H101" s="543"/>
      <c r="I101" s="543"/>
      <c r="J101" s="543"/>
      <c r="K101" s="543"/>
      <c r="L101" s="543"/>
      <c r="M101" s="543"/>
      <c r="N101" s="543"/>
      <c r="O101" s="543"/>
      <c r="P101" s="543"/>
      <c r="Q101" s="543"/>
      <c r="R101" s="543"/>
      <c r="S101" s="543"/>
      <c r="T101" s="543"/>
      <c r="U101" s="543"/>
      <c r="V101" s="359"/>
      <c r="W101" s="359"/>
      <c r="X101" s="359"/>
      <c r="Y101" s="359"/>
      <c r="Z101" s="359"/>
      <c r="AA101" s="359"/>
      <c r="AB101" s="359"/>
    </row>
    <row r="102" ht="15.6" spans="1:28">
      <c r="A102" s="543"/>
      <c r="B102" s="548"/>
      <c r="C102" s="548"/>
      <c r="D102" s="543"/>
      <c r="E102" s="543"/>
      <c r="F102" s="543"/>
      <c r="G102" s="543"/>
      <c r="H102" s="543"/>
      <c r="I102" s="543"/>
      <c r="J102" s="543"/>
      <c r="K102" s="543"/>
      <c r="L102" s="543"/>
      <c r="M102" s="543"/>
      <c r="N102" s="543"/>
      <c r="O102" s="543"/>
      <c r="P102" s="543"/>
      <c r="Q102" s="543"/>
      <c r="R102" s="543"/>
      <c r="S102" s="543"/>
      <c r="T102" s="543"/>
      <c r="U102" s="543"/>
      <c r="V102" s="359"/>
      <c r="W102" s="359"/>
      <c r="X102" s="359"/>
      <c r="Y102" s="359"/>
      <c r="Z102" s="359"/>
      <c r="AA102" s="359"/>
      <c r="AB102" s="359"/>
    </row>
    <row r="103" ht="15.6" spans="1:28">
      <c r="A103" s="364"/>
      <c r="D103" s="364"/>
      <c r="E103" s="364"/>
      <c r="F103" s="364"/>
      <c r="G103" s="364"/>
      <c r="H103" s="364"/>
      <c r="I103" s="364"/>
      <c r="J103" s="364"/>
      <c r="K103" s="364"/>
      <c r="L103" s="364"/>
      <c r="M103" s="364"/>
      <c r="N103" s="364"/>
      <c r="O103" s="364"/>
      <c r="P103" s="364"/>
      <c r="Q103" s="364"/>
      <c r="R103" s="364"/>
      <c r="S103" s="364"/>
      <c r="T103" s="364"/>
      <c r="U103" s="364"/>
      <c r="V103" s="364"/>
      <c r="W103" s="364"/>
      <c r="X103" s="364"/>
      <c r="Y103" s="364"/>
      <c r="Z103" s="364"/>
      <c r="AA103" s="364"/>
      <c r="AB103" s="364"/>
    </row>
    <row r="104" ht="15.6" spans="1:28">
      <c r="A104" s="364"/>
      <c r="D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row>
    <row r="105" ht="15.6" spans="1:28">
      <c r="A105" s="364"/>
      <c r="D105" s="364"/>
      <c r="E105" s="364"/>
      <c r="F105" s="364"/>
      <c r="G105" s="364"/>
      <c r="H105" s="364"/>
      <c r="I105" s="364"/>
      <c r="J105" s="364"/>
      <c r="K105" s="364"/>
      <c r="L105" s="364"/>
      <c r="M105" s="364"/>
      <c r="N105" s="364"/>
      <c r="O105" s="364"/>
      <c r="P105" s="364"/>
      <c r="Q105" s="364"/>
      <c r="R105" s="364"/>
      <c r="S105" s="364"/>
      <c r="T105" s="364"/>
      <c r="U105" s="364"/>
      <c r="V105" s="364"/>
      <c r="W105" s="364"/>
      <c r="X105" s="364"/>
      <c r="Y105" s="364"/>
      <c r="Z105" s="364"/>
      <c r="AA105" s="364"/>
      <c r="AB105" s="364"/>
    </row>
    <row r="106" ht="15.6" spans="1:28">
      <c r="A106" s="364"/>
      <c r="D106" s="364"/>
      <c r="E106" s="364"/>
      <c r="F106" s="364"/>
      <c r="G106" s="364"/>
      <c r="H106" s="364"/>
      <c r="I106" s="364"/>
      <c r="J106" s="364"/>
      <c r="K106" s="364"/>
      <c r="L106" s="364"/>
      <c r="M106" s="364"/>
      <c r="N106" s="364"/>
      <c r="O106" s="364"/>
      <c r="P106" s="364"/>
      <c r="Q106" s="364"/>
      <c r="R106" s="364"/>
      <c r="S106" s="364"/>
      <c r="T106" s="364"/>
      <c r="U106" s="364"/>
      <c r="V106" s="364"/>
      <c r="W106" s="364"/>
      <c r="X106" s="364"/>
      <c r="Y106" s="364"/>
      <c r="Z106" s="364"/>
      <c r="AA106" s="364"/>
      <c r="AB106" s="364"/>
    </row>
    <row r="107" ht="15.6" spans="1:28">
      <c r="A107" s="364"/>
      <c r="D107" s="364"/>
      <c r="E107" s="364"/>
      <c r="F107" s="364"/>
      <c r="G107" s="364"/>
      <c r="H107" s="364"/>
      <c r="I107" s="364"/>
      <c r="J107" s="364"/>
      <c r="K107" s="364"/>
      <c r="L107" s="364"/>
      <c r="M107" s="364"/>
      <c r="N107" s="364"/>
      <c r="O107" s="364"/>
      <c r="P107" s="364"/>
      <c r="Q107" s="364"/>
      <c r="R107" s="364"/>
      <c r="S107" s="364"/>
      <c r="T107" s="364"/>
      <c r="U107" s="364"/>
      <c r="V107" s="364"/>
      <c r="W107" s="364"/>
      <c r="X107" s="364"/>
      <c r="Y107" s="364"/>
      <c r="Z107" s="364"/>
      <c r="AA107" s="364"/>
      <c r="AB107" s="364"/>
    </row>
    <row r="108" ht="15.6" spans="1:28">
      <c r="A108" s="364"/>
      <c r="D108" s="364"/>
      <c r="E108" s="364"/>
      <c r="F108" s="364"/>
      <c r="G108" s="364"/>
      <c r="H108" s="364"/>
      <c r="I108" s="364"/>
      <c r="J108" s="364"/>
      <c r="K108" s="364"/>
      <c r="L108" s="364"/>
      <c r="M108" s="364"/>
      <c r="N108" s="364"/>
      <c r="O108" s="364"/>
      <c r="P108" s="364"/>
      <c r="Q108" s="364"/>
      <c r="R108" s="364"/>
      <c r="S108" s="364"/>
      <c r="T108" s="364"/>
      <c r="U108" s="364"/>
      <c r="V108" s="364"/>
      <c r="W108" s="364"/>
      <c r="X108" s="364"/>
      <c r="Y108" s="364"/>
      <c r="Z108" s="364"/>
      <c r="AA108" s="364"/>
      <c r="AB108" s="364"/>
    </row>
    <row r="109" ht="15.6" spans="1:28">
      <c r="A109" s="364"/>
      <c r="D109" s="364"/>
      <c r="E109" s="364"/>
      <c r="F109" s="364"/>
      <c r="G109" s="364"/>
      <c r="H109" s="364"/>
      <c r="I109" s="364"/>
      <c r="J109" s="364"/>
      <c r="K109" s="364"/>
      <c r="L109" s="364"/>
      <c r="M109" s="364"/>
      <c r="N109" s="364"/>
      <c r="O109" s="364"/>
      <c r="P109" s="364"/>
      <c r="Q109" s="364"/>
      <c r="R109" s="364"/>
      <c r="S109" s="364"/>
      <c r="T109" s="364"/>
      <c r="U109" s="364"/>
      <c r="V109" s="364"/>
      <c r="W109" s="364"/>
      <c r="X109" s="364"/>
      <c r="Y109" s="364"/>
      <c r="Z109" s="364"/>
      <c r="AA109" s="364"/>
      <c r="AB109" s="364"/>
    </row>
    <row r="110" ht="15.6" spans="1:28">
      <c r="A110" s="364"/>
      <c r="B110" s="364"/>
      <c r="C110" s="364"/>
      <c r="D110" s="552"/>
      <c r="E110" s="364"/>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row>
    <row r="111" ht="15.6" spans="1:28">
      <c r="A111" s="364"/>
      <c r="B111" s="364" t="s">
        <v>103</v>
      </c>
      <c r="C111" s="364"/>
      <c r="D111" s="364"/>
      <c r="E111" s="364"/>
      <c r="F111" s="364"/>
      <c r="G111" s="364"/>
      <c r="H111" s="364"/>
      <c r="I111" s="364"/>
      <c r="J111" s="364"/>
      <c r="K111" s="364"/>
      <c r="L111" s="364"/>
      <c r="M111" s="364"/>
      <c r="N111" s="364"/>
      <c r="O111" s="364"/>
      <c r="P111" s="364"/>
      <c r="Q111" s="364"/>
      <c r="R111" s="364"/>
      <c r="S111" s="364"/>
      <c r="T111" s="364"/>
      <c r="U111" s="364"/>
      <c r="V111" s="364"/>
      <c r="W111" s="364"/>
      <c r="X111" s="364"/>
      <c r="Y111" s="364"/>
      <c r="Z111" s="364"/>
      <c r="AA111" s="364"/>
      <c r="AB111" s="364"/>
    </row>
    <row r="112" ht="15.6" spans="1:28">
      <c r="A112" s="364"/>
      <c r="B112" s="364"/>
      <c r="C112" s="364"/>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row>
    <row r="113" ht="15.6" spans="1:28">
      <c r="A113" s="364"/>
      <c r="B113" s="364" t="s">
        <v>104</v>
      </c>
      <c r="C113" s="364"/>
      <c r="D113" s="553"/>
      <c r="E113" s="553"/>
      <c r="F113" s="553"/>
      <c r="G113" s="553"/>
      <c r="H113" s="553"/>
      <c r="I113" s="553"/>
      <c r="J113" s="553"/>
      <c r="K113" s="553"/>
      <c r="L113" s="553"/>
      <c r="M113" s="553"/>
      <c r="N113" s="576"/>
      <c r="O113" s="364"/>
      <c r="P113" s="576"/>
      <c r="Q113" s="576"/>
      <c r="R113" s="364"/>
      <c r="S113" s="364"/>
      <c r="T113" s="364"/>
      <c r="U113" s="364"/>
      <c r="V113" s="364"/>
      <c r="W113" s="364"/>
      <c r="X113" s="364"/>
      <c r="Y113" s="364"/>
      <c r="Z113" s="364"/>
      <c r="AA113" s="364"/>
      <c r="AB113" s="364"/>
    </row>
    <row r="114" ht="16.35" spans="1:28">
      <c r="A114" s="364"/>
      <c r="B114" s="364" t="s">
        <v>105</v>
      </c>
      <c r="C114" s="364"/>
      <c r="D114" s="554"/>
      <c r="E114" s="554"/>
      <c r="F114" s="554"/>
      <c r="G114" s="554"/>
      <c r="H114" s="554"/>
      <c r="I114" s="554"/>
      <c r="J114" s="577"/>
      <c r="K114" s="577"/>
      <c r="L114" s="577"/>
      <c r="M114" s="553"/>
      <c r="N114" s="576"/>
      <c r="O114" s="364"/>
      <c r="P114" s="553"/>
      <c r="Q114" s="576"/>
      <c r="R114" s="364"/>
      <c r="S114" s="364"/>
      <c r="T114" s="364"/>
      <c r="U114" s="364"/>
      <c r="V114" s="364"/>
      <c r="W114" s="364"/>
      <c r="X114" s="364"/>
      <c r="Y114" s="364"/>
      <c r="Z114" s="364"/>
      <c r="AA114" s="364"/>
      <c r="AB114" s="364"/>
    </row>
    <row r="115" ht="16.35" spans="2:28">
      <c r="B115" s="555">
        <f>D13*D14</f>
        <v>80</v>
      </c>
      <c r="C115" s="556">
        <f>1+D13+D14*0.2</f>
        <v>11</v>
      </c>
      <c r="D115" s="557" t="s">
        <v>106</v>
      </c>
      <c r="E115" s="557"/>
      <c r="F115" s="558">
        <f>1500</f>
        <v>1500</v>
      </c>
      <c r="G115" s="558">
        <v>1500</v>
      </c>
      <c r="H115" s="559">
        <v>1000</v>
      </c>
      <c r="I115" s="558">
        <v>0.5</v>
      </c>
      <c r="J115" s="578">
        <f>1200</f>
        <v>1200</v>
      </c>
      <c r="K115" s="558">
        <f>IF(G8=2,1000,3000)</f>
        <v>1000</v>
      </c>
      <c r="L115" s="579">
        <v>60</v>
      </c>
      <c r="M115" s="558">
        <v>36000</v>
      </c>
      <c r="P115" s="364"/>
      <c r="Q115" s="364"/>
      <c r="R115" s="364"/>
      <c r="S115" s="364"/>
      <c r="T115" s="364"/>
      <c r="U115" s="364"/>
      <c r="V115" s="364"/>
      <c r="W115" s="364"/>
      <c r="X115" s="364"/>
      <c r="Y115" s="364"/>
      <c r="Z115" s="364"/>
      <c r="AA115" s="364"/>
      <c r="AB115" s="364"/>
    </row>
    <row r="116" ht="16.35" spans="1:28">
      <c r="A116" s="364"/>
      <c r="B116" s="556" t="s">
        <v>107</v>
      </c>
      <c r="C116" s="560"/>
      <c r="D116" s="561" t="s">
        <v>108</v>
      </c>
      <c r="E116" s="561"/>
      <c r="F116" s="561" t="s">
        <v>109</v>
      </c>
      <c r="G116" s="561" t="s">
        <v>110</v>
      </c>
      <c r="H116" s="562" t="s">
        <v>111</v>
      </c>
      <c r="I116" s="561" t="s">
        <v>112</v>
      </c>
      <c r="J116" s="562" t="s">
        <v>69</v>
      </c>
      <c r="K116" s="561" t="s">
        <v>74</v>
      </c>
      <c r="L116" s="228" t="s">
        <v>113</v>
      </c>
      <c r="M116" s="561" t="s">
        <v>114</v>
      </c>
      <c r="O116" s="364"/>
      <c r="P116" s="364"/>
      <c r="Q116" s="364"/>
      <c r="R116" s="364"/>
      <c r="S116" s="364"/>
      <c r="T116" s="364"/>
      <c r="U116" s="364"/>
      <c r="V116" s="364"/>
      <c r="W116" s="364"/>
      <c r="X116" s="364"/>
      <c r="Y116" s="364"/>
      <c r="Z116" s="364"/>
      <c r="AA116" s="364"/>
      <c r="AB116" s="364"/>
    </row>
    <row r="117" ht="16.35" spans="1:28">
      <c r="A117" s="364"/>
      <c r="B117" s="556"/>
      <c r="C117" s="560"/>
      <c r="D117" s="561" t="s">
        <v>115</v>
      </c>
      <c r="E117" s="563" t="s">
        <v>116</v>
      </c>
      <c r="F117" s="562"/>
      <c r="G117" s="564"/>
      <c r="H117" s="562">
        <f>H115*D10/100</f>
        <v>800</v>
      </c>
      <c r="I117" s="561">
        <f>D9*I115/100</f>
        <v>0</v>
      </c>
      <c r="J117" s="562">
        <f>J115*5.9/C115</f>
        <v>643.636363636364</v>
      </c>
      <c r="K117" s="561">
        <f>D13*J117</f>
        <v>1287.27272727273</v>
      </c>
      <c r="L117" s="580">
        <f>L115*D11/100</f>
        <v>12</v>
      </c>
      <c r="M117" s="561">
        <f>D14*K117</f>
        <v>51490.9090909091</v>
      </c>
      <c r="O117" s="364"/>
      <c r="P117" s="364"/>
      <c r="Q117" s="364"/>
      <c r="R117" s="364"/>
      <c r="S117" s="364"/>
      <c r="T117" s="364"/>
      <c r="U117" s="364"/>
      <c r="V117" s="364"/>
      <c r="W117" s="364"/>
      <c r="X117" s="364"/>
      <c r="Y117" s="364"/>
      <c r="Z117" s="364"/>
      <c r="AA117" s="364"/>
      <c r="AB117" s="364"/>
    </row>
    <row r="118" ht="16.35" spans="1:28">
      <c r="A118" s="364"/>
      <c r="B118" s="364"/>
      <c r="C118" s="364"/>
      <c r="D118" s="364"/>
      <c r="E118" s="364"/>
      <c r="F118" s="364"/>
      <c r="G118" s="364"/>
      <c r="H118" s="364"/>
      <c r="I118" s="364"/>
      <c r="J118" s="364"/>
      <c r="K118" s="364"/>
      <c r="L118" s="364"/>
      <c r="M118" s="364"/>
      <c r="N118" s="364"/>
      <c r="O118" s="364"/>
      <c r="P118" s="364"/>
      <c r="Q118" s="364"/>
      <c r="R118" s="364"/>
      <c r="S118" s="364"/>
      <c r="T118" s="364"/>
      <c r="U118" s="364"/>
      <c r="V118" s="364"/>
      <c r="W118" s="364"/>
      <c r="X118" s="364"/>
      <c r="Y118" s="364"/>
      <c r="Z118" s="364"/>
      <c r="AA118" s="364"/>
      <c r="AB118" s="364"/>
    </row>
    <row r="119" ht="15.6" spans="1:28">
      <c r="A119" s="364"/>
      <c r="B119" s="565" t="s">
        <v>117</v>
      </c>
      <c r="C119" s="566"/>
      <c r="D119" s="566"/>
      <c r="E119" s="566"/>
      <c r="F119" s="566"/>
      <c r="G119" s="566"/>
      <c r="H119" s="566"/>
      <c r="I119" s="566"/>
      <c r="J119" s="566"/>
      <c r="K119" s="566"/>
      <c r="L119" s="566"/>
      <c r="M119" s="566"/>
      <c r="N119" s="566"/>
      <c r="O119" s="581"/>
      <c r="P119" s="571"/>
      <c r="Q119" s="571"/>
      <c r="R119" s="364"/>
      <c r="S119" s="571"/>
      <c r="T119" s="571"/>
      <c r="U119" s="571"/>
      <c r="V119" s="364"/>
      <c r="W119" s="364"/>
      <c r="X119" s="364"/>
      <c r="Y119" s="364"/>
      <c r="Z119" s="364"/>
      <c r="AA119" s="364"/>
      <c r="AB119" s="364"/>
    </row>
    <row r="120" ht="15.6" spans="1:28">
      <c r="A120" s="364"/>
      <c r="B120" s="567"/>
      <c r="C120" s="568"/>
      <c r="D120" s="568"/>
      <c r="E120" s="568"/>
      <c r="F120" s="568"/>
      <c r="G120" s="568"/>
      <c r="H120" s="568"/>
      <c r="I120" s="568"/>
      <c r="J120" s="568"/>
      <c r="K120" s="568"/>
      <c r="L120" s="568"/>
      <c r="M120" s="568"/>
      <c r="N120" s="568"/>
      <c r="O120" s="582"/>
      <c r="P120" s="571"/>
      <c r="Q120" s="571"/>
      <c r="R120" s="364"/>
      <c r="S120" s="571"/>
      <c r="T120" s="571"/>
      <c r="U120" s="571"/>
      <c r="V120" s="364"/>
      <c r="W120" s="364"/>
      <c r="X120" s="364"/>
      <c r="Y120" s="364"/>
      <c r="Z120" s="364"/>
      <c r="AA120" s="364"/>
      <c r="AB120" s="364"/>
    </row>
    <row r="121" ht="15.6" spans="1:28">
      <c r="A121" s="364"/>
      <c r="B121" s="567"/>
      <c r="C121" s="568"/>
      <c r="D121" s="568"/>
      <c r="E121" s="568"/>
      <c r="F121" s="568"/>
      <c r="G121" s="568"/>
      <c r="H121" s="568"/>
      <c r="I121" s="568"/>
      <c r="J121" s="568"/>
      <c r="K121" s="568"/>
      <c r="L121" s="568"/>
      <c r="M121" s="568"/>
      <c r="N121" s="568"/>
      <c r="O121" s="582"/>
      <c r="P121" s="571"/>
      <c r="Q121" s="571"/>
      <c r="R121" s="364"/>
      <c r="S121" s="571"/>
      <c r="T121" s="571"/>
      <c r="U121" s="571"/>
      <c r="V121" s="364"/>
      <c r="W121" s="364"/>
      <c r="X121" s="364"/>
      <c r="Y121" s="364"/>
      <c r="Z121" s="364"/>
      <c r="AA121" s="364"/>
      <c r="AB121" s="364"/>
    </row>
    <row r="122" ht="15.6" spans="1:28">
      <c r="A122" s="364"/>
      <c r="B122" s="567"/>
      <c r="C122" s="568"/>
      <c r="D122" s="568"/>
      <c r="E122" s="568"/>
      <c r="F122" s="568"/>
      <c r="G122" s="568"/>
      <c r="H122" s="568"/>
      <c r="I122" s="568"/>
      <c r="J122" s="568"/>
      <c r="K122" s="568"/>
      <c r="L122" s="568"/>
      <c r="M122" s="568"/>
      <c r="N122" s="568"/>
      <c r="O122" s="582"/>
      <c r="P122" s="571"/>
      <c r="Q122" s="571"/>
      <c r="R122" s="364"/>
      <c r="S122" s="571"/>
      <c r="T122" s="571"/>
      <c r="U122" s="571"/>
      <c r="V122" s="364"/>
      <c r="W122" s="364"/>
      <c r="X122" s="364"/>
      <c r="Y122" s="364"/>
      <c r="Z122" s="364"/>
      <c r="AA122" s="364"/>
      <c r="AB122" s="364"/>
    </row>
    <row r="123" ht="15.6" spans="1:28">
      <c r="A123" s="364"/>
      <c r="B123" s="567"/>
      <c r="C123" s="568"/>
      <c r="D123" s="568"/>
      <c r="E123" s="568"/>
      <c r="F123" s="568"/>
      <c r="G123" s="568"/>
      <c r="H123" s="568"/>
      <c r="I123" s="568"/>
      <c r="J123" s="568"/>
      <c r="K123" s="568"/>
      <c r="L123" s="568"/>
      <c r="M123" s="568"/>
      <c r="N123" s="568"/>
      <c r="O123" s="582"/>
      <c r="P123" s="571"/>
      <c r="Q123" s="571"/>
      <c r="R123" s="364"/>
      <c r="S123" s="571"/>
      <c r="T123" s="571"/>
      <c r="U123" s="571"/>
      <c r="V123" s="364"/>
      <c r="W123" s="364"/>
      <c r="X123" s="364"/>
      <c r="Y123" s="364"/>
      <c r="Z123" s="364"/>
      <c r="AA123" s="364"/>
      <c r="AB123" s="364"/>
    </row>
    <row r="124" ht="15.6" spans="1:28">
      <c r="A124" s="364"/>
      <c r="B124" s="567"/>
      <c r="C124" s="568"/>
      <c r="D124" s="568"/>
      <c r="E124" s="568"/>
      <c r="F124" s="568"/>
      <c r="G124" s="568"/>
      <c r="H124" s="568"/>
      <c r="I124" s="568"/>
      <c r="J124" s="568"/>
      <c r="K124" s="568"/>
      <c r="L124" s="568"/>
      <c r="M124" s="568"/>
      <c r="N124" s="568"/>
      <c r="O124" s="582"/>
      <c r="P124" s="571"/>
      <c r="Q124" s="571"/>
      <c r="R124" s="364"/>
      <c r="S124" s="571"/>
      <c r="T124" s="571"/>
      <c r="U124" s="571"/>
      <c r="V124" s="364"/>
      <c r="W124" s="364"/>
      <c r="X124" s="364"/>
      <c r="Y124" s="364"/>
      <c r="Z124" s="364"/>
      <c r="AA124" s="364"/>
      <c r="AB124" s="364"/>
    </row>
    <row r="125" ht="16.35" spans="1:28">
      <c r="A125" s="364"/>
      <c r="B125" s="569"/>
      <c r="C125" s="570"/>
      <c r="D125" s="570"/>
      <c r="E125" s="570"/>
      <c r="F125" s="570"/>
      <c r="G125" s="570"/>
      <c r="H125" s="570"/>
      <c r="I125" s="570"/>
      <c r="J125" s="570"/>
      <c r="K125" s="570"/>
      <c r="L125" s="570"/>
      <c r="M125" s="570"/>
      <c r="N125" s="570"/>
      <c r="O125" s="583"/>
      <c r="P125" s="571"/>
      <c r="Q125" s="571"/>
      <c r="R125" s="364"/>
      <c r="S125" s="571"/>
      <c r="T125" s="571"/>
      <c r="U125" s="571"/>
      <c r="V125" s="364"/>
      <c r="W125" s="364"/>
      <c r="X125" s="364"/>
      <c r="Y125" s="364"/>
      <c r="Z125" s="364"/>
      <c r="AA125" s="364"/>
      <c r="AB125" s="364"/>
    </row>
    <row r="126" ht="16.35" spans="1:28">
      <c r="A126" s="364"/>
      <c r="B126" s="571"/>
      <c r="C126" s="571"/>
      <c r="D126" s="571"/>
      <c r="E126" s="571"/>
      <c r="F126" s="571"/>
      <c r="G126" s="571"/>
      <c r="H126" s="571"/>
      <c r="I126" s="571"/>
      <c r="J126" s="571"/>
      <c r="K126" s="571"/>
      <c r="L126" s="571"/>
      <c r="M126" s="571"/>
      <c r="N126" s="571"/>
      <c r="O126" s="571"/>
      <c r="P126" s="571"/>
      <c r="Q126" s="571"/>
      <c r="R126" s="364"/>
      <c r="S126" s="571"/>
      <c r="T126" s="571"/>
      <c r="U126" s="571"/>
      <c r="V126" s="364"/>
      <c r="W126" s="364"/>
      <c r="X126" s="364"/>
      <c r="Y126" s="364"/>
      <c r="Z126" s="364"/>
      <c r="AA126" s="364"/>
      <c r="AB126" s="364"/>
    </row>
    <row r="127" ht="15.6" spans="1:28">
      <c r="A127" s="364"/>
      <c r="B127" s="572" t="s">
        <v>118</v>
      </c>
      <c r="C127" s="573"/>
      <c r="D127" s="573"/>
      <c r="E127" s="573"/>
      <c r="F127" s="573"/>
      <c r="G127" s="573"/>
      <c r="H127" s="573"/>
      <c r="I127" s="573"/>
      <c r="J127" s="573"/>
      <c r="K127" s="573"/>
      <c r="L127" s="573"/>
      <c r="M127" s="573"/>
      <c r="N127" s="573"/>
      <c r="O127" s="584"/>
      <c r="P127" s="571"/>
      <c r="Q127" s="571"/>
      <c r="R127" s="364"/>
      <c r="S127" s="571"/>
      <c r="T127" s="571"/>
      <c r="U127" s="571"/>
      <c r="V127" s="364"/>
      <c r="W127" s="364"/>
      <c r="X127" s="364"/>
      <c r="Y127" s="364"/>
      <c r="Z127" s="364"/>
      <c r="AA127" s="364"/>
      <c r="AB127" s="364"/>
    </row>
    <row r="128" ht="15.6" spans="1:28">
      <c r="A128" s="364"/>
      <c r="B128" s="574"/>
      <c r="C128" s="571"/>
      <c r="D128" s="571"/>
      <c r="E128" s="571"/>
      <c r="F128" s="571"/>
      <c r="G128" s="571"/>
      <c r="H128" s="571"/>
      <c r="I128" s="571"/>
      <c r="J128" s="571"/>
      <c r="K128" s="571"/>
      <c r="L128" s="571"/>
      <c r="M128" s="571"/>
      <c r="N128" s="571"/>
      <c r="O128" s="585"/>
      <c r="P128" s="571"/>
      <c r="Q128" s="571"/>
      <c r="R128" s="364"/>
      <c r="S128" s="571"/>
      <c r="T128" s="571"/>
      <c r="U128" s="571"/>
      <c r="V128" s="364"/>
      <c r="W128" s="364"/>
      <c r="X128" s="364"/>
      <c r="Y128" s="364"/>
      <c r="Z128" s="364"/>
      <c r="AA128" s="364"/>
      <c r="AB128" s="364"/>
    </row>
    <row r="129" ht="15.6" spans="1:28">
      <c r="A129" s="364"/>
      <c r="B129" s="574"/>
      <c r="C129" s="571"/>
      <c r="D129" s="571"/>
      <c r="E129" s="571"/>
      <c r="F129" s="571"/>
      <c r="G129" s="571"/>
      <c r="H129" s="571"/>
      <c r="I129" s="571"/>
      <c r="J129" s="571"/>
      <c r="K129" s="571"/>
      <c r="L129" s="571"/>
      <c r="M129" s="571"/>
      <c r="N129" s="571"/>
      <c r="O129" s="585"/>
      <c r="P129" s="571"/>
      <c r="Q129" s="571"/>
      <c r="R129" s="364"/>
      <c r="S129" s="571"/>
      <c r="T129" s="571"/>
      <c r="U129" s="571"/>
      <c r="V129" s="364"/>
      <c r="W129" s="364"/>
      <c r="X129" s="364"/>
      <c r="Y129" s="364"/>
      <c r="Z129" s="364"/>
      <c r="AA129" s="364"/>
      <c r="AB129" s="364"/>
    </row>
    <row r="130" ht="15.6" spans="1:28">
      <c r="A130" s="364"/>
      <c r="B130" s="574"/>
      <c r="C130" s="571"/>
      <c r="D130" s="571"/>
      <c r="E130" s="571"/>
      <c r="F130" s="571"/>
      <c r="G130" s="571"/>
      <c r="H130" s="571"/>
      <c r="I130" s="571"/>
      <c r="J130" s="571"/>
      <c r="K130" s="571"/>
      <c r="L130" s="571"/>
      <c r="M130" s="571"/>
      <c r="N130" s="571"/>
      <c r="O130" s="585"/>
      <c r="P130" s="364"/>
      <c r="Q130" s="364"/>
      <c r="R130" s="364"/>
      <c r="S130" s="364"/>
      <c r="T130" s="364"/>
      <c r="U130" s="364"/>
      <c r="V130" s="364"/>
      <c r="W130" s="364"/>
      <c r="X130" s="364"/>
      <c r="Y130" s="364"/>
      <c r="Z130" s="364"/>
      <c r="AA130" s="364"/>
      <c r="AB130" s="364"/>
    </row>
    <row r="131" ht="16.35" spans="1:28">
      <c r="A131" s="364"/>
      <c r="B131" s="589"/>
      <c r="C131" s="590"/>
      <c r="D131" s="590"/>
      <c r="E131" s="590"/>
      <c r="F131" s="590"/>
      <c r="G131" s="590"/>
      <c r="H131" s="590"/>
      <c r="I131" s="590"/>
      <c r="J131" s="590"/>
      <c r="K131" s="590"/>
      <c r="L131" s="590"/>
      <c r="M131" s="590"/>
      <c r="N131" s="590"/>
      <c r="O131" s="601"/>
      <c r="P131" s="364"/>
      <c r="Q131" s="364"/>
      <c r="R131" s="364"/>
      <c r="S131" s="364"/>
      <c r="T131" s="364"/>
      <c r="U131" s="364"/>
      <c r="V131" s="364"/>
      <c r="W131" s="364"/>
      <c r="X131" s="364"/>
      <c r="Y131" s="364"/>
      <c r="Z131" s="364"/>
      <c r="AA131" s="364"/>
      <c r="AB131" s="364"/>
    </row>
    <row r="132" ht="16.35" spans="1:28">
      <c r="A132" s="364"/>
      <c r="B132" s="364"/>
      <c r="C132" s="364"/>
      <c r="D132" s="364"/>
      <c r="E132" s="364"/>
      <c r="F132" s="364"/>
      <c r="G132" s="364"/>
      <c r="H132" s="364"/>
      <c r="I132" s="364"/>
      <c r="J132" s="364"/>
      <c r="K132" s="364"/>
      <c r="L132" s="364"/>
      <c r="M132" s="364"/>
      <c r="N132" s="364"/>
      <c r="O132" s="364"/>
      <c r="P132" s="364"/>
      <c r="Q132" s="364"/>
      <c r="R132" s="364"/>
      <c r="S132" s="364"/>
      <c r="T132" s="364"/>
      <c r="U132" s="364"/>
      <c r="V132" s="364"/>
      <c r="W132" s="364"/>
      <c r="X132" s="364"/>
      <c r="Y132" s="364"/>
      <c r="Z132" s="364"/>
      <c r="AA132" s="364"/>
      <c r="AB132" s="364"/>
    </row>
    <row r="133" ht="15.6" spans="1:28">
      <c r="A133" s="364"/>
      <c r="B133" s="591" t="s">
        <v>119</v>
      </c>
      <c r="C133" s="592"/>
      <c r="D133" s="592"/>
      <c r="E133" s="592"/>
      <c r="F133" s="592"/>
      <c r="G133" s="592"/>
      <c r="H133" s="592"/>
      <c r="I133" s="592"/>
      <c r="J133" s="592"/>
      <c r="K133" s="592"/>
      <c r="L133" s="592"/>
      <c r="M133" s="592"/>
      <c r="N133" s="592"/>
      <c r="O133" s="602"/>
      <c r="P133" s="364"/>
      <c r="Q133" s="364"/>
      <c r="R133" s="364"/>
      <c r="S133" s="364"/>
      <c r="T133" s="364"/>
      <c r="U133" s="364"/>
      <c r="V133" s="364"/>
      <c r="W133" s="364"/>
      <c r="X133" s="364"/>
      <c r="Y133" s="364"/>
      <c r="Z133" s="364"/>
      <c r="AA133" s="364"/>
      <c r="AB133" s="364"/>
    </row>
    <row r="134" ht="15.6" spans="1:28">
      <c r="A134" s="364"/>
      <c r="B134" s="593" t="s">
        <v>120</v>
      </c>
      <c r="C134" s="594"/>
      <c r="D134" s="594"/>
      <c r="E134" s="594"/>
      <c r="F134" s="594"/>
      <c r="G134" s="594"/>
      <c r="H134" s="594"/>
      <c r="I134" s="594"/>
      <c r="J134" s="594"/>
      <c r="K134" s="594"/>
      <c r="L134" s="594"/>
      <c r="M134" s="594"/>
      <c r="N134" s="594"/>
      <c r="O134" s="603"/>
      <c r="P134" s="364"/>
      <c r="Q134" s="364"/>
      <c r="R134" s="364"/>
      <c r="S134" s="364"/>
      <c r="T134" s="364"/>
      <c r="U134" s="364"/>
      <c r="V134" s="364"/>
      <c r="W134" s="364"/>
      <c r="X134" s="364"/>
      <c r="Y134" s="364"/>
      <c r="Z134" s="364"/>
      <c r="AA134" s="364"/>
      <c r="AB134" s="364"/>
    </row>
    <row r="135" ht="15.6" spans="1:28">
      <c r="A135" s="364"/>
      <c r="B135" s="593" t="s">
        <v>121</v>
      </c>
      <c r="C135" s="594"/>
      <c r="D135" s="594"/>
      <c r="E135" s="594"/>
      <c r="F135" s="594"/>
      <c r="G135" s="594"/>
      <c r="H135" s="594"/>
      <c r="I135" s="594"/>
      <c r="J135" s="594"/>
      <c r="K135" s="594"/>
      <c r="L135" s="594"/>
      <c r="M135" s="594"/>
      <c r="N135" s="594"/>
      <c r="O135" s="603"/>
      <c r="P135" s="364"/>
      <c r="Q135" s="364"/>
      <c r="R135" s="364"/>
      <c r="S135" s="364"/>
      <c r="T135" s="364"/>
      <c r="U135" s="364"/>
      <c r="V135" s="364"/>
      <c r="W135" s="364"/>
      <c r="X135" s="364"/>
      <c r="Y135" s="364"/>
      <c r="Z135" s="364"/>
      <c r="AA135" s="364"/>
      <c r="AB135" s="364"/>
    </row>
    <row r="136" ht="15.6" spans="1:28">
      <c r="A136" s="364"/>
      <c r="B136" s="595" t="s">
        <v>122</v>
      </c>
      <c r="C136" s="594"/>
      <c r="D136" s="594"/>
      <c r="E136" s="594"/>
      <c r="F136" s="594"/>
      <c r="G136" s="594"/>
      <c r="H136" s="594"/>
      <c r="I136" s="594"/>
      <c r="J136" s="594"/>
      <c r="K136" s="594"/>
      <c r="L136" s="594"/>
      <c r="M136" s="594"/>
      <c r="N136" s="594"/>
      <c r="O136" s="603"/>
      <c r="P136" s="364"/>
      <c r="Q136" s="364"/>
      <c r="R136" s="364"/>
      <c r="S136" s="364"/>
      <c r="T136" s="364"/>
      <c r="U136" s="364"/>
      <c r="V136" s="364"/>
      <c r="W136" s="364"/>
      <c r="X136" s="364"/>
      <c r="Y136" s="364"/>
      <c r="Z136" s="364"/>
      <c r="AA136" s="364"/>
      <c r="AB136" s="364"/>
    </row>
    <row r="137" ht="15.6" spans="1:28">
      <c r="A137" s="364"/>
      <c r="B137" s="593" t="s">
        <v>123</v>
      </c>
      <c r="C137" s="594"/>
      <c r="D137" s="594"/>
      <c r="E137" s="594"/>
      <c r="F137" s="594"/>
      <c r="G137" s="594"/>
      <c r="H137" s="594"/>
      <c r="I137" s="594"/>
      <c r="J137" s="594"/>
      <c r="K137" s="594"/>
      <c r="L137" s="594"/>
      <c r="M137" s="594"/>
      <c r="N137" s="594"/>
      <c r="O137" s="603"/>
      <c r="P137" s="364"/>
      <c r="Q137" s="364"/>
      <c r="R137" s="364"/>
      <c r="S137" s="364"/>
      <c r="T137" s="364"/>
      <c r="U137" s="364"/>
      <c r="V137" s="364"/>
      <c r="W137" s="364"/>
      <c r="X137" s="364"/>
      <c r="Y137" s="364"/>
      <c r="Z137" s="364"/>
      <c r="AA137" s="364"/>
      <c r="AB137" s="364"/>
    </row>
    <row r="138" ht="15.6" spans="1:28">
      <c r="A138" s="364"/>
      <c r="B138" s="593" t="s">
        <v>124</v>
      </c>
      <c r="C138" s="594"/>
      <c r="D138" s="594"/>
      <c r="E138" s="594"/>
      <c r="F138" s="594"/>
      <c r="G138" s="594"/>
      <c r="H138" s="594"/>
      <c r="I138" s="594"/>
      <c r="J138" s="594"/>
      <c r="K138" s="594"/>
      <c r="L138" s="594"/>
      <c r="M138" s="594"/>
      <c r="N138" s="594"/>
      <c r="O138" s="603"/>
      <c r="P138" s="364"/>
      <c r="Q138" s="364"/>
      <c r="R138" s="364"/>
      <c r="S138" s="364"/>
      <c r="T138" s="364"/>
      <c r="U138" s="364"/>
      <c r="V138" s="364"/>
      <c r="W138" s="364"/>
      <c r="X138" s="364"/>
      <c r="Y138" s="364"/>
      <c r="Z138" s="364"/>
      <c r="AA138" s="364"/>
      <c r="AB138" s="364"/>
    </row>
    <row r="139" ht="15.6" spans="1:28">
      <c r="A139" s="364"/>
      <c r="B139" s="593" t="s">
        <v>125</v>
      </c>
      <c r="C139" s="594"/>
      <c r="D139" s="594"/>
      <c r="E139" s="594"/>
      <c r="F139" s="594"/>
      <c r="G139" s="594"/>
      <c r="H139" s="594"/>
      <c r="I139" s="594"/>
      <c r="J139" s="594"/>
      <c r="K139" s="594"/>
      <c r="L139" s="594"/>
      <c r="M139" s="594"/>
      <c r="N139" s="594"/>
      <c r="O139" s="603"/>
      <c r="P139" s="364"/>
      <c r="Q139" s="364"/>
      <c r="R139" s="364"/>
      <c r="S139" s="364"/>
      <c r="T139" s="364"/>
      <c r="U139" s="364"/>
      <c r="V139" s="364"/>
      <c r="W139" s="364"/>
      <c r="X139" s="364"/>
      <c r="Y139" s="364"/>
      <c r="Z139" s="364"/>
      <c r="AA139" s="364"/>
      <c r="AB139" s="364"/>
    </row>
    <row r="140" ht="15.6" spans="1:28">
      <c r="A140" s="364"/>
      <c r="B140" s="593" t="s">
        <v>126</v>
      </c>
      <c r="C140" s="594"/>
      <c r="D140" s="594"/>
      <c r="E140" s="594"/>
      <c r="F140" s="594"/>
      <c r="G140" s="594"/>
      <c r="H140" s="594"/>
      <c r="I140" s="594"/>
      <c r="J140" s="594"/>
      <c r="K140" s="594"/>
      <c r="L140" s="594"/>
      <c r="M140" s="594"/>
      <c r="N140" s="594"/>
      <c r="O140" s="603"/>
      <c r="P140" s="364"/>
      <c r="Q140" s="364"/>
      <c r="R140" s="364"/>
      <c r="S140" s="364"/>
      <c r="T140" s="364"/>
      <c r="U140" s="364"/>
      <c r="V140" s="364"/>
      <c r="W140" s="364"/>
      <c r="X140" s="364"/>
      <c r="Y140" s="364"/>
      <c r="Z140" s="364"/>
      <c r="AA140" s="364"/>
      <c r="AB140" s="364"/>
    </row>
    <row r="141" ht="15.6" spans="1:28">
      <c r="A141" s="364"/>
      <c r="B141" s="593" t="s">
        <v>127</v>
      </c>
      <c r="C141" s="594"/>
      <c r="D141" s="594"/>
      <c r="E141" s="594"/>
      <c r="F141" s="594"/>
      <c r="G141" s="594"/>
      <c r="H141" s="594"/>
      <c r="I141" s="594"/>
      <c r="J141" s="594"/>
      <c r="K141" s="594"/>
      <c r="L141" s="594"/>
      <c r="M141" s="594"/>
      <c r="N141" s="594"/>
      <c r="O141" s="603"/>
      <c r="P141" s="364"/>
      <c r="Q141" s="364"/>
      <c r="R141" s="364"/>
      <c r="S141" s="364"/>
      <c r="T141" s="364"/>
      <c r="U141" s="364"/>
      <c r="V141" s="364"/>
      <c r="W141" s="364"/>
      <c r="X141" s="364"/>
      <c r="Y141" s="364"/>
      <c r="Z141" s="364"/>
      <c r="AA141" s="364"/>
      <c r="AB141" s="364"/>
    </row>
    <row r="142" ht="15.6" spans="1:28">
      <c r="A142" s="364"/>
      <c r="B142" s="593" t="s">
        <v>128</v>
      </c>
      <c r="C142" s="594"/>
      <c r="D142" s="594"/>
      <c r="E142" s="594"/>
      <c r="F142" s="594"/>
      <c r="G142" s="594"/>
      <c r="H142" s="594"/>
      <c r="I142" s="594"/>
      <c r="J142" s="594"/>
      <c r="K142" s="594"/>
      <c r="L142" s="594"/>
      <c r="M142" s="594"/>
      <c r="N142" s="594"/>
      <c r="O142" s="603"/>
      <c r="P142" s="364"/>
      <c r="Q142" s="364"/>
      <c r="R142" s="364"/>
      <c r="S142" s="364"/>
      <c r="T142" s="364"/>
      <c r="U142" s="364"/>
      <c r="V142" s="364"/>
      <c r="W142" s="364"/>
      <c r="X142" s="364"/>
      <c r="Y142" s="364"/>
      <c r="Z142" s="364"/>
      <c r="AA142" s="364"/>
      <c r="AB142" s="364"/>
    </row>
    <row r="143" ht="15.6" spans="1:28">
      <c r="A143" s="364"/>
      <c r="B143" s="593" t="s">
        <v>129</v>
      </c>
      <c r="C143" s="594"/>
      <c r="D143" s="594"/>
      <c r="E143" s="594"/>
      <c r="F143" s="594"/>
      <c r="G143" s="594"/>
      <c r="H143" s="594"/>
      <c r="I143" s="594"/>
      <c r="J143" s="594"/>
      <c r="K143" s="594"/>
      <c r="L143" s="594"/>
      <c r="M143" s="594"/>
      <c r="N143" s="594"/>
      <c r="O143" s="603"/>
      <c r="P143" s="364"/>
      <c r="Q143" s="364"/>
      <c r="R143" s="364"/>
      <c r="S143" s="364"/>
      <c r="T143" s="364"/>
      <c r="U143" s="364"/>
      <c r="V143" s="364"/>
      <c r="W143" s="364"/>
      <c r="X143" s="364"/>
      <c r="Y143" s="364"/>
      <c r="Z143" s="364"/>
      <c r="AA143" s="364"/>
      <c r="AB143" s="364"/>
    </row>
    <row r="144" ht="15.6" spans="1:28">
      <c r="A144" s="364"/>
      <c r="B144" s="593" t="s">
        <v>130</v>
      </c>
      <c r="C144" s="594"/>
      <c r="D144" s="594"/>
      <c r="E144" s="594"/>
      <c r="F144" s="594"/>
      <c r="G144" s="594"/>
      <c r="H144" s="594"/>
      <c r="I144" s="594"/>
      <c r="J144" s="594"/>
      <c r="K144" s="594"/>
      <c r="L144" s="594"/>
      <c r="M144" s="594"/>
      <c r="N144" s="594"/>
      <c r="O144" s="603"/>
      <c r="P144" s="364"/>
      <c r="Q144" s="364"/>
      <c r="R144" s="364"/>
      <c r="S144" s="364"/>
      <c r="T144" s="364"/>
      <c r="U144" s="364"/>
      <c r="V144" s="364"/>
      <c r="W144" s="364"/>
      <c r="X144" s="364"/>
      <c r="Y144" s="364"/>
      <c r="Z144" s="364"/>
      <c r="AA144" s="364"/>
      <c r="AB144" s="364"/>
    </row>
    <row r="145" ht="15.6" spans="1:28">
      <c r="A145" s="364"/>
      <c r="B145" s="593" t="s">
        <v>131</v>
      </c>
      <c r="C145" s="594"/>
      <c r="D145" s="594"/>
      <c r="E145" s="594"/>
      <c r="F145" s="594"/>
      <c r="G145" s="594"/>
      <c r="H145" s="594"/>
      <c r="I145" s="594"/>
      <c r="J145" s="594"/>
      <c r="K145" s="594"/>
      <c r="L145" s="594"/>
      <c r="M145" s="594"/>
      <c r="N145" s="594"/>
      <c r="O145" s="603"/>
      <c r="P145" s="364"/>
      <c r="Q145" s="364"/>
      <c r="R145" s="364"/>
      <c r="S145" s="364"/>
      <c r="T145" s="364"/>
      <c r="U145" s="364"/>
      <c r="V145" s="364"/>
      <c r="W145" s="364"/>
      <c r="X145" s="364"/>
      <c r="Y145" s="364"/>
      <c r="Z145" s="364"/>
      <c r="AA145" s="364"/>
      <c r="AB145" s="364"/>
    </row>
    <row r="146" ht="15.6" spans="1:28">
      <c r="A146" s="364"/>
      <c r="B146" s="593" t="s">
        <v>132</v>
      </c>
      <c r="C146" s="594"/>
      <c r="D146" s="594"/>
      <c r="E146" s="594"/>
      <c r="F146" s="594"/>
      <c r="G146" s="594"/>
      <c r="H146" s="594"/>
      <c r="I146" s="594"/>
      <c r="J146" s="594"/>
      <c r="K146" s="594"/>
      <c r="L146" s="594"/>
      <c r="M146" s="594"/>
      <c r="N146" s="594"/>
      <c r="O146" s="603"/>
      <c r="P146" s="364"/>
      <c r="Q146" s="364"/>
      <c r="R146" s="364"/>
      <c r="S146" s="364"/>
      <c r="T146" s="364"/>
      <c r="U146" s="364"/>
      <c r="V146" s="364"/>
      <c r="W146" s="364"/>
      <c r="X146" s="364"/>
      <c r="Y146" s="364"/>
      <c r="Z146" s="364"/>
      <c r="AA146" s="364"/>
      <c r="AB146" s="364"/>
    </row>
    <row r="147" ht="15.6" spans="1:28">
      <c r="A147" s="364"/>
      <c r="B147" s="593" t="s">
        <v>133</v>
      </c>
      <c r="C147" s="594"/>
      <c r="D147" s="594"/>
      <c r="E147" s="594"/>
      <c r="F147" s="594"/>
      <c r="G147" s="594"/>
      <c r="H147" s="594"/>
      <c r="I147" s="594"/>
      <c r="J147" s="594"/>
      <c r="K147" s="594"/>
      <c r="L147" s="594"/>
      <c r="M147" s="594"/>
      <c r="N147" s="594"/>
      <c r="O147" s="603"/>
      <c r="P147" s="364"/>
      <c r="Q147" s="364"/>
      <c r="R147" s="364"/>
      <c r="S147" s="364"/>
      <c r="T147" s="364"/>
      <c r="U147" s="364"/>
      <c r="V147" s="364"/>
      <c r="W147" s="364"/>
      <c r="X147" s="364"/>
      <c r="Y147" s="364"/>
      <c r="Z147" s="364"/>
      <c r="AA147" s="364"/>
      <c r="AB147" s="364"/>
    </row>
    <row r="148" ht="15.6" spans="1:28">
      <c r="A148" s="364"/>
      <c r="B148" s="596" t="s">
        <v>134</v>
      </c>
      <c r="C148" s="597"/>
      <c r="D148" s="597"/>
      <c r="E148" s="597"/>
      <c r="F148" s="597"/>
      <c r="G148" s="597"/>
      <c r="H148" s="597"/>
      <c r="I148" s="597"/>
      <c r="J148" s="597"/>
      <c r="K148" s="597"/>
      <c r="L148" s="597"/>
      <c r="M148" s="597"/>
      <c r="N148" s="597"/>
      <c r="O148" s="604"/>
      <c r="P148" s="364"/>
      <c r="Q148" s="364"/>
      <c r="R148" s="364"/>
      <c r="S148" s="364"/>
      <c r="T148" s="364"/>
      <c r="U148" s="364"/>
      <c r="V148" s="364"/>
      <c r="W148" s="364"/>
      <c r="X148" s="364"/>
      <c r="Y148" s="364"/>
      <c r="Z148" s="364"/>
      <c r="AA148" s="364"/>
      <c r="AB148" s="364"/>
    </row>
    <row r="149" ht="15.6" spans="1:28">
      <c r="A149" s="364"/>
      <c r="B149" s="596" t="s">
        <v>135</v>
      </c>
      <c r="C149" s="597"/>
      <c r="D149" s="597"/>
      <c r="E149" s="597"/>
      <c r="F149" s="597"/>
      <c r="G149" s="597"/>
      <c r="H149" s="597"/>
      <c r="I149" s="597"/>
      <c r="J149" s="597"/>
      <c r="K149" s="597"/>
      <c r="L149" s="597"/>
      <c r="M149" s="597"/>
      <c r="N149" s="597"/>
      <c r="O149" s="604"/>
      <c r="P149" s="364"/>
      <c r="Q149" s="364"/>
      <c r="R149" s="364"/>
      <c r="S149" s="364"/>
      <c r="T149" s="364"/>
      <c r="U149" s="364"/>
      <c r="V149" s="364"/>
      <c r="W149" s="364"/>
      <c r="X149" s="364"/>
      <c r="Y149" s="364"/>
      <c r="Z149" s="364"/>
      <c r="AA149" s="364"/>
      <c r="AB149" s="364"/>
    </row>
    <row r="150" ht="15.6" spans="1:28">
      <c r="A150" s="364"/>
      <c r="B150" s="596" t="s">
        <v>136</v>
      </c>
      <c r="C150" s="597"/>
      <c r="D150" s="597"/>
      <c r="E150" s="597"/>
      <c r="F150" s="597"/>
      <c r="G150" s="597"/>
      <c r="H150" s="597"/>
      <c r="I150" s="597"/>
      <c r="J150" s="597"/>
      <c r="K150" s="597"/>
      <c r="L150" s="597"/>
      <c r="M150" s="597"/>
      <c r="N150" s="597"/>
      <c r="O150" s="604"/>
      <c r="P150" s="364"/>
      <c r="Q150" s="364"/>
      <c r="R150" s="364"/>
      <c r="S150" s="364"/>
      <c r="T150" s="364"/>
      <c r="U150" s="364"/>
      <c r="V150" s="364"/>
      <c r="W150" s="364"/>
      <c r="X150" s="364"/>
      <c r="Y150" s="364"/>
      <c r="Z150" s="364"/>
      <c r="AA150" s="364"/>
      <c r="AB150" s="364"/>
    </row>
    <row r="151" ht="15.6" spans="1:28">
      <c r="A151" s="364"/>
      <c r="B151" s="596" t="s">
        <v>137</v>
      </c>
      <c r="C151" s="597"/>
      <c r="D151" s="597"/>
      <c r="E151" s="597"/>
      <c r="F151" s="597"/>
      <c r="G151" s="597"/>
      <c r="H151" s="597"/>
      <c r="I151" s="597"/>
      <c r="J151" s="597"/>
      <c r="K151" s="597"/>
      <c r="L151" s="597"/>
      <c r="M151" s="597"/>
      <c r="N151" s="597"/>
      <c r="O151" s="604"/>
      <c r="P151" s="364"/>
      <c r="Q151" s="364"/>
      <c r="R151" s="364"/>
      <c r="S151" s="364"/>
      <c r="T151" s="364"/>
      <c r="U151" s="364"/>
      <c r="V151" s="364"/>
      <c r="W151" s="364"/>
      <c r="X151" s="364"/>
      <c r="Y151" s="364"/>
      <c r="Z151" s="364"/>
      <c r="AA151" s="364"/>
      <c r="AB151" s="364"/>
    </row>
    <row r="152" ht="15.6" spans="1:28">
      <c r="A152" s="364"/>
      <c r="B152" s="596" t="s">
        <v>138</v>
      </c>
      <c r="C152" s="597"/>
      <c r="D152" s="597"/>
      <c r="E152" s="597"/>
      <c r="F152" s="597"/>
      <c r="G152" s="597"/>
      <c r="H152" s="597"/>
      <c r="I152" s="597"/>
      <c r="J152" s="597"/>
      <c r="K152" s="597"/>
      <c r="L152" s="597"/>
      <c r="M152" s="597"/>
      <c r="N152" s="597"/>
      <c r="O152" s="604"/>
      <c r="P152" s="364"/>
      <c r="Q152" s="364"/>
      <c r="R152" s="364"/>
      <c r="S152" s="364"/>
      <c r="T152" s="364"/>
      <c r="U152" s="364"/>
      <c r="V152" s="364"/>
      <c r="W152" s="364"/>
      <c r="X152" s="364"/>
      <c r="Y152" s="364"/>
      <c r="Z152" s="364"/>
      <c r="AA152" s="364"/>
      <c r="AB152" s="364"/>
    </row>
    <row r="153" spans="2:15">
      <c r="B153" s="595" t="s">
        <v>139</v>
      </c>
      <c r="C153" s="598"/>
      <c r="D153" s="598"/>
      <c r="E153" s="598"/>
      <c r="F153" s="598"/>
      <c r="G153" s="598"/>
      <c r="H153" s="598"/>
      <c r="I153" s="598"/>
      <c r="J153" s="598"/>
      <c r="K153" s="598"/>
      <c r="L153" s="598"/>
      <c r="M153" s="598"/>
      <c r="N153" s="598"/>
      <c r="O153" s="605"/>
    </row>
    <row r="154" spans="2:15">
      <c r="B154" s="595" t="s">
        <v>140</v>
      </c>
      <c r="C154" s="598"/>
      <c r="D154" s="598"/>
      <c r="E154" s="598"/>
      <c r="F154" s="598"/>
      <c r="G154" s="598"/>
      <c r="H154" s="598"/>
      <c r="I154" s="598"/>
      <c r="J154" s="598"/>
      <c r="K154" s="598"/>
      <c r="L154" s="598"/>
      <c r="M154" s="598"/>
      <c r="N154" s="598"/>
      <c r="O154" s="605"/>
    </row>
    <row r="155" spans="2:15">
      <c r="B155" s="595" t="s">
        <v>141</v>
      </c>
      <c r="C155" s="598"/>
      <c r="D155" s="598"/>
      <c r="E155" s="598"/>
      <c r="F155" s="598"/>
      <c r="G155" s="598"/>
      <c r="H155" s="598"/>
      <c r="I155" s="598"/>
      <c r="J155" s="598"/>
      <c r="K155" s="598"/>
      <c r="L155" s="598"/>
      <c r="M155" s="598"/>
      <c r="N155" s="598"/>
      <c r="O155" s="605"/>
    </row>
    <row r="156" spans="2:15">
      <c r="B156" s="595" t="s">
        <v>142</v>
      </c>
      <c r="C156" s="598"/>
      <c r="D156" s="598"/>
      <c r="E156" s="598"/>
      <c r="F156" s="598"/>
      <c r="G156" s="598"/>
      <c r="H156" s="598"/>
      <c r="I156" s="598"/>
      <c r="J156" s="598"/>
      <c r="K156" s="598"/>
      <c r="L156" s="598"/>
      <c r="M156" s="598"/>
      <c r="N156" s="598"/>
      <c r="O156" s="605"/>
    </row>
    <row r="157" spans="2:15">
      <c r="B157" s="595" t="s">
        <v>143</v>
      </c>
      <c r="C157" s="598"/>
      <c r="D157" s="598"/>
      <c r="E157" s="598"/>
      <c r="F157" s="598"/>
      <c r="G157" s="598"/>
      <c r="H157" s="598"/>
      <c r="I157" s="598"/>
      <c r="J157" s="598"/>
      <c r="K157" s="598"/>
      <c r="L157" s="598"/>
      <c r="M157" s="598"/>
      <c r="N157" s="598"/>
      <c r="O157" s="605"/>
    </row>
    <row r="158" spans="2:15">
      <c r="B158" s="595" t="s">
        <v>144</v>
      </c>
      <c r="C158" s="598"/>
      <c r="D158" s="598"/>
      <c r="E158" s="598"/>
      <c r="F158" s="598"/>
      <c r="G158" s="598"/>
      <c r="H158" s="598"/>
      <c r="I158" s="598"/>
      <c r="J158" s="598"/>
      <c r="K158" s="598"/>
      <c r="L158" s="598"/>
      <c r="M158" s="598"/>
      <c r="N158" s="598"/>
      <c r="O158" s="605"/>
    </row>
    <row r="159" spans="2:15">
      <c r="B159" s="595" t="s">
        <v>145</v>
      </c>
      <c r="C159" s="598"/>
      <c r="D159" s="598"/>
      <c r="E159" s="598"/>
      <c r="F159" s="598"/>
      <c r="G159" s="598"/>
      <c r="H159" s="598"/>
      <c r="I159" s="598"/>
      <c r="J159" s="598"/>
      <c r="K159" s="598"/>
      <c r="L159" s="598"/>
      <c r="M159" s="598"/>
      <c r="N159" s="598"/>
      <c r="O159" s="605"/>
    </row>
    <row r="160" spans="2:15">
      <c r="B160" s="595" t="s">
        <v>146</v>
      </c>
      <c r="C160" s="598"/>
      <c r="D160" s="598"/>
      <c r="E160" s="598"/>
      <c r="F160" s="598"/>
      <c r="G160" s="598"/>
      <c r="H160" s="598"/>
      <c r="I160" s="598"/>
      <c r="J160" s="598"/>
      <c r="K160" s="598"/>
      <c r="L160" s="598"/>
      <c r="M160" s="598"/>
      <c r="N160" s="598"/>
      <c r="O160" s="605"/>
    </row>
    <row r="161" spans="2:15">
      <c r="B161" s="595" t="s">
        <v>147</v>
      </c>
      <c r="C161" s="598"/>
      <c r="D161" s="598"/>
      <c r="E161" s="598"/>
      <c r="F161" s="598"/>
      <c r="G161" s="598"/>
      <c r="H161" s="598"/>
      <c r="I161" s="598"/>
      <c r="J161" s="598"/>
      <c r="K161" s="598"/>
      <c r="L161" s="598"/>
      <c r="M161" s="598"/>
      <c r="N161" s="598"/>
      <c r="O161" s="605"/>
    </row>
    <row r="162" spans="2:15">
      <c r="B162" s="595" t="s">
        <v>148</v>
      </c>
      <c r="C162" s="598"/>
      <c r="D162" s="598"/>
      <c r="E162" s="598"/>
      <c r="F162" s="598"/>
      <c r="G162" s="598"/>
      <c r="H162" s="598"/>
      <c r="I162" s="598"/>
      <c r="J162" s="598"/>
      <c r="K162" s="598"/>
      <c r="L162" s="598"/>
      <c r="M162" s="598"/>
      <c r="N162" s="598"/>
      <c r="O162" s="605"/>
    </row>
    <row r="163" spans="2:15">
      <c r="B163" s="595" t="s">
        <v>149</v>
      </c>
      <c r="C163" s="598"/>
      <c r="D163" s="598"/>
      <c r="E163" s="598"/>
      <c r="F163" s="598"/>
      <c r="G163" s="598"/>
      <c r="H163" s="598"/>
      <c r="I163" s="598"/>
      <c r="J163" s="598"/>
      <c r="K163" s="598"/>
      <c r="L163" s="598"/>
      <c r="M163" s="598"/>
      <c r="N163" s="598"/>
      <c r="O163" s="605"/>
    </row>
    <row r="164" ht="15.15" spans="2:15">
      <c r="B164" s="599"/>
      <c r="C164" s="600"/>
      <c r="D164" s="600"/>
      <c r="E164" s="600"/>
      <c r="F164" s="600"/>
      <c r="G164" s="600"/>
      <c r="H164" s="600"/>
      <c r="I164" s="600"/>
      <c r="J164" s="600"/>
      <c r="K164" s="600"/>
      <c r="L164" s="600"/>
      <c r="M164" s="600"/>
      <c r="N164" s="600"/>
      <c r="O164" s="606"/>
    </row>
  </sheetData>
  <mergeCells count="114">
    <mergeCell ref="C5:E5"/>
    <mergeCell ref="F5:I5"/>
    <mergeCell ref="J5:M5"/>
    <mergeCell ref="B6:C6"/>
    <mergeCell ref="E6:F6"/>
    <mergeCell ref="H6:M6"/>
    <mergeCell ref="N6:O6"/>
    <mergeCell ref="P6:Q6"/>
    <mergeCell ref="B7:C7"/>
    <mergeCell ref="E7:F7"/>
    <mergeCell ref="N7:Q7"/>
    <mergeCell ref="B8:C8"/>
    <mergeCell ref="E8:F8"/>
    <mergeCell ref="H8:J8"/>
    <mergeCell ref="L8:Q8"/>
    <mergeCell ref="B9:C9"/>
    <mergeCell ref="E9:Q9"/>
    <mergeCell ref="B10:C10"/>
    <mergeCell ref="E10:Q10"/>
    <mergeCell ref="B11:C11"/>
    <mergeCell ref="E11:Q11"/>
    <mergeCell ref="B12:C12"/>
    <mergeCell ref="F12:Q12"/>
    <mergeCell ref="B13:C13"/>
    <mergeCell ref="F13:H13"/>
    <mergeCell ref="K13:Q13"/>
    <mergeCell ref="B14:C14"/>
    <mergeCell ref="F14:G14"/>
    <mergeCell ref="K14:L14"/>
    <mergeCell ref="D15:E15"/>
    <mergeCell ref="H15:I15"/>
    <mergeCell ref="M15:N15"/>
    <mergeCell ref="D16:E16"/>
    <mergeCell ref="H16:I16"/>
    <mergeCell ref="M16:N16"/>
    <mergeCell ref="D17:E17"/>
    <mergeCell ref="H17:I17"/>
    <mergeCell ref="M17:N17"/>
    <mergeCell ref="D18:E18"/>
    <mergeCell ref="H18:I18"/>
    <mergeCell ref="M18:N18"/>
    <mergeCell ref="D19:E19"/>
    <mergeCell ref="H19:I19"/>
    <mergeCell ref="M19:N19"/>
    <mergeCell ref="D20:E20"/>
    <mergeCell ref="H20:I20"/>
    <mergeCell ref="M20:N20"/>
    <mergeCell ref="D21:E21"/>
    <mergeCell ref="H21:I21"/>
    <mergeCell ref="M21:N21"/>
    <mergeCell ref="D22:E22"/>
    <mergeCell ref="H22:I22"/>
    <mergeCell ref="M22:N22"/>
    <mergeCell ref="D23:E23"/>
    <mergeCell ref="H23:I23"/>
    <mergeCell ref="M23:N23"/>
    <mergeCell ref="D24:E24"/>
    <mergeCell ref="H24:I24"/>
    <mergeCell ref="M24:N24"/>
    <mergeCell ref="D25:E25"/>
    <mergeCell ref="H25:I25"/>
    <mergeCell ref="M25:N25"/>
    <mergeCell ref="D26:E26"/>
    <mergeCell ref="H26:I26"/>
    <mergeCell ref="M26:N26"/>
    <mergeCell ref="D27:E27"/>
    <mergeCell ref="H27:I27"/>
    <mergeCell ref="M27:N27"/>
    <mergeCell ref="D28:E28"/>
    <mergeCell ref="H28:I28"/>
    <mergeCell ref="M28:N28"/>
    <mergeCell ref="B29:C29"/>
    <mergeCell ref="D29:E29"/>
    <mergeCell ref="F29:G29"/>
    <mergeCell ref="H29:I29"/>
    <mergeCell ref="J29:M29"/>
    <mergeCell ref="N29:O29"/>
    <mergeCell ref="B30:C30"/>
    <mergeCell ref="D30:E30"/>
    <mergeCell ref="F30:G30"/>
    <mergeCell ref="H30:I30"/>
    <mergeCell ref="J30:K30"/>
    <mergeCell ref="L30:M30"/>
    <mergeCell ref="B31:C31"/>
    <mergeCell ref="D31:E31"/>
    <mergeCell ref="F31:G31"/>
    <mergeCell ref="H31:I31"/>
    <mergeCell ref="J31:K31"/>
    <mergeCell ref="L31:M31"/>
    <mergeCell ref="N31:P31"/>
    <mergeCell ref="B32:C32"/>
    <mergeCell ref="D32:E32"/>
    <mergeCell ref="F32:G32"/>
    <mergeCell ref="H32:I32"/>
    <mergeCell ref="J32:K32"/>
    <mergeCell ref="L32:M32"/>
    <mergeCell ref="N32:P32"/>
    <mergeCell ref="B33:H33"/>
    <mergeCell ref="I33:P33"/>
    <mergeCell ref="B49:H49"/>
    <mergeCell ref="I49:P49"/>
    <mergeCell ref="E117:G117"/>
    <mergeCell ref="B15:B28"/>
    <mergeCell ref="K15:K28"/>
    <mergeCell ref="E2:N3"/>
    <mergeCell ref="B1:C2"/>
    <mergeCell ref="Q2:S3"/>
    <mergeCell ref="R6:S14"/>
    <mergeCell ref="Q29:R30"/>
    <mergeCell ref="B34:H48"/>
    <mergeCell ref="I34:P48"/>
    <mergeCell ref="I50:P65"/>
    <mergeCell ref="B119:O125"/>
    <mergeCell ref="B127:O131"/>
  </mergeCells>
  <conditionalFormatting sqref="D6">
    <cfRule type="expression" dxfId="0" priority="6">
      <formula>($D$6-$G$6)^2&gt;0.0001</formula>
    </cfRule>
  </conditionalFormatting>
  <conditionalFormatting sqref="D7">
    <cfRule type="expression" dxfId="0" priority="5">
      <formula>($D$7-$G$7)^2&gt;0.0001</formula>
    </cfRule>
  </conditionalFormatting>
  <conditionalFormatting sqref="D8">
    <cfRule type="expression" dxfId="0" priority="4">
      <formula>$D$8&gt;3</formula>
    </cfRule>
  </conditionalFormatting>
  <conditionalFormatting sqref="G8">
    <cfRule type="expression" dxfId="0" priority="3">
      <formula>$G$8&gt;2</formula>
    </cfRule>
  </conditionalFormatting>
  <conditionalFormatting sqref="K8">
    <cfRule type="expression" dxfId="0" priority="2">
      <formula>$K$8&gt;11</formula>
    </cfRule>
  </conditionalFormatting>
  <conditionalFormatting sqref="C16:F16">
    <cfRule type="expression" dxfId="1" priority="66">
      <formula>$C$16&gt;$H$14</formula>
    </cfRule>
  </conditionalFormatting>
  <conditionalFormatting sqref="G16:J16">
    <cfRule type="expression" dxfId="1" priority="67">
      <formula>$G$16&gt;$H$14</formula>
    </cfRule>
  </conditionalFormatting>
  <conditionalFormatting sqref="L16:O16">
    <cfRule type="expression" dxfId="1" priority="42">
      <formula>$L$16&gt;$M$14</formula>
    </cfRule>
  </conditionalFormatting>
  <conditionalFormatting sqref="P16:R16">
    <cfRule type="expression" dxfId="1" priority="28">
      <formula>$P$16&gt;$M$14</formula>
    </cfRule>
  </conditionalFormatting>
  <conditionalFormatting sqref="C17:F17">
    <cfRule type="expression" dxfId="1" priority="65">
      <formula>$C$17&gt;$H$14</formula>
    </cfRule>
  </conditionalFormatting>
  <conditionalFormatting sqref="G17:J17">
    <cfRule type="expression" dxfId="1" priority="68">
      <formula>$G$17&gt;$H$14</formula>
    </cfRule>
  </conditionalFormatting>
  <conditionalFormatting sqref="L17:O17">
    <cfRule type="expression" dxfId="1" priority="41">
      <formula>$L$17&gt;$M$14</formula>
    </cfRule>
  </conditionalFormatting>
  <conditionalFormatting sqref="P17:R17">
    <cfRule type="expression" dxfId="1" priority="27">
      <formula>$P$17&gt;$M$14</formula>
    </cfRule>
  </conditionalFormatting>
  <conditionalFormatting sqref="C18:F18">
    <cfRule type="expression" dxfId="1" priority="64">
      <formula>$C$18&gt;$H$14</formula>
    </cfRule>
  </conditionalFormatting>
  <conditionalFormatting sqref="G18:J18">
    <cfRule type="expression" dxfId="1" priority="53">
      <formula>$G$18&gt;$H$14</formula>
    </cfRule>
  </conditionalFormatting>
  <conditionalFormatting sqref="L18:O18">
    <cfRule type="expression" dxfId="1" priority="40">
      <formula>$L$18&gt;$M$14</formula>
    </cfRule>
  </conditionalFormatting>
  <conditionalFormatting sqref="P18:R18">
    <cfRule type="expression" dxfId="1" priority="26">
      <formula>$P$18&gt;$M$14</formula>
    </cfRule>
  </conditionalFormatting>
  <conditionalFormatting sqref="C19:F19">
    <cfRule type="expression" dxfId="1" priority="63">
      <formula>$C$19&gt;$H$14</formula>
    </cfRule>
  </conditionalFormatting>
  <conditionalFormatting sqref="G19:J19">
    <cfRule type="expression" dxfId="1" priority="52">
      <formula>$G$19&gt;$H$14</formula>
    </cfRule>
  </conditionalFormatting>
  <conditionalFormatting sqref="L19:O19">
    <cfRule type="expression" dxfId="1" priority="39">
      <formula>$L$19&gt;$M$14</formula>
    </cfRule>
  </conditionalFormatting>
  <conditionalFormatting sqref="P19:R19">
    <cfRule type="expression" dxfId="1" priority="18">
      <formula>$P$19&gt;$M$14</formula>
    </cfRule>
  </conditionalFormatting>
  <conditionalFormatting sqref="C20:F20">
    <cfRule type="expression" dxfId="1" priority="62">
      <formula>$C$20&gt;$H$14</formula>
    </cfRule>
  </conditionalFormatting>
  <conditionalFormatting sqref="G20:J20">
    <cfRule type="expression" dxfId="1" priority="51">
      <formula>$G$20&gt;$H$14</formula>
    </cfRule>
  </conditionalFormatting>
  <conditionalFormatting sqref="L20:O20">
    <cfRule type="expression" dxfId="1" priority="38">
      <formula>$L$20&gt;$M$14</formula>
    </cfRule>
  </conditionalFormatting>
  <conditionalFormatting sqref="P20:R20">
    <cfRule type="expression" dxfId="1" priority="17">
      <formula>$P$20&gt;$M$14</formula>
    </cfRule>
  </conditionalFormatting>
  <conditionalFormatting sqref="C21:F21">
    <cfRule type="expression" dxfId="1" priority="61">
      <formula>$C$21&gt;$H$14</formula>
    </cfRule>
  </conditionalFormatting>
  <conditionalFormatting sqref="G21:J21">
    <cfRule type="expression" dxfId="1" priority="50">
      <formula>$G$21&gt;$H$14</formula>
    </cfRule>
  </conditionalFormatting>
  <conditionalFormatting sqref="L21:O21">
    <cfRule type="expression" dxfId="1" priority="37">
      <formula>$L$21&gt;$M$14</formula>
    </cfRule>
  </conditionalFormatting>
  <conditionalFormatting sqref="P21:R21">
    <cfRule type="expression" dxfId="1" priority="16">
      <formula>$P$21&gt;$M$14</formula>
    </cfRule>
  </conditionalFormatting>
  <conditionalFormatting sqref="C22:F22">
    <cfRule type="expression" dxfId="1" priority="60">
      <formula>$C$22&gt;$H$14</formula>
    </cfRule>
  </conditionalFormatting>
  <conditionalFormatting sqref="G22:J22">
    <cfRule type="expression" dxfId="1" priority="49">
      <formula>$G$22&gt;$H$14</formula>
    </cfRule>
  </conditionalFormatting>
  <conditionalFormatting sqref="L22:O22">
    <cfRule type="expression" dxfId="1" priority="36">
      <formula>$L$22&gt;$M$14</formula>
    </cfRule>
  </conditionalFormatting>
  <conditionalFormatting sqref="P22:R22">
    <cfRule type="expression" dxfId="1" priority="15">
      <formula>$P$22&gt;$M$14</formula>
    </cfRule>
  </conditionalFormatting>
  <conditionalFormatting sqref="C23:F23">
    <cfRule type="expression" dxfId="1" priority="59">
      <formula>$C$23&gt;$H$14</formula>
    </cfRule>
  </conditionalFormatting>
  <conditionalFormatting sqref="G23:J23">
    <cfRule type="expression" dxfId="1" priority="48">
      <formula>$G$23&gt;$H$14</formula>
    </cfRule>
  </conditionalFormatting>
  <conditionalFormatting sqref="L23:O23">
    <cfRule type="expression" dxfId="1" priority="35">
      <formula>$L$23&gt;$M$14</formula>
    </cfRule>
  </conditionalFormatting>
  <conditionalFormatting sqref="P23:R23">
    <cfRule type="expression" dxfId="1" priority="14">
      <formula>$P$23&gt;$M$14</formula>
    </cfRule>
  </conditionalFormatting>
  <conditionalFormatting sqref="C24:F24">
    <cfRule type="expression" dxfId="1" priority="58">
      <formula>$C$24&gt;$H$14</formula>
    </cfRule>
  </conditionalFormatting>
  <conditionalFormatting sqref="G24:J24">
    <cfRule type="expression" dxfId="1" priority="47">
      <formula>$G$24&gt;$H$14</formula>
    </cfRule>
  </conditionalFormatting>
  <conditionalFormatting sqref="L24:O24">
    <cfRule type="expression" dxfId="1" priority="33">
      <formula>$L$25&gt;$M$14</formula>
    </cfRule>
    <cfRule type="expression" dxfId="1" priority="34">
      <formula>$L$24&gt;$M$14</formula>
    </cfRule>
  </conditionalFormatting>
  <conditionalFormatting sqref="P24:R24">
    <cfRule type="expression" dxfId="1" priority="13">
      <formula>$P$24&gt;$M$14</formula>
    </cfRule>
  </conditionalFormatting>
  <conditionalFormatting sqref="C25:F25">
    <cfRule type="expression" dxfId="1" priority="57">
      <formula>$C$25&gt;$H$14</formula>
    </cfRule>
  </conditionalFormatting>
  <conditionalFormatting sqref="G25:J25">
    <cfRule type="expression" dxfId="1" priority="46">
      <formula>$G$25&gt;$H$14</formula>
    </cfRule>
  </conditionalFormatting>
  <conditionalFormatting sqref="L25:O25">
    <cfRule type="expression" dxfId="1" priority="32">
      <formula>$L$25&gt;$M$14</formula>
    </cfRule>
  </conditionalFormatting>
  <conditionalFormatting sqref="P25:R25">
    <cfRule type="expression" dxfId="1" priority="12">
      <formula>$P$25&gt;$M$14</formula>
    </cfRule>
  </conditionalFormatting>
  <conditionalFormatting sqref="C26:F26">
    <cfRule type="expression" dxfId="1" priority="56">
      <formula>$C$26&gt;$H$14</formula>
    </cfRule>
  </conditionalFormatting>
  <conditionalFormatting sqref="G26:J26">
    <cfRule type="expression" dxfId="1" priority="45">
      <formula>$G$26&gt;$H$14</formula>
    </cfRule>
  </conditionalFormatting>
  <conditionalFormatting sqref="L26:O26">
    <cfRule type="expression" dxfId="1" priority="31">
      <formula>$L$26&gt;$M$14</formula>
    </cfRule>
  </conditionalFormatting>
  <conditionalFormatting sqref="P26:R26">
    <cfRule type="expression" dxfId="1" priority="11">
      <formula>$P$26&gt;$M$14</formula>
    </cfRule>
  </conditionalFormatting>
  <conditionalFormatting sqref="C27:F27">
    <cfRule type="expression" dxfId="1" priority="55">
      <formula>$C$27&gt;$H$14</formula>
    </cfRule>
  </conditionalFormatting>
  <conditionalFormatting sqref="G27:J27">
    <cfRule type="expression" dxfId="1" priority="44">
      <formula>$G$27&gt;$H$14</formula>
    </cfRule>
  </conditionalFormatting>
  <conditionalFormatting sqref="L27:O27">
    <cfRule type="expression" dxfId="1" priority="30">
      <formula>$L$27&gt;$M$14</formula>
    </cfRule>
  </conditionalFormatting>
  <conditionalFormatting sqref="P27:R27">
    <cfRule type="expression" dxfId="1" priority="10">
      <formula>$P$27&gt;$M$14</formula>
    </cfRule>
  </conditionalFormatting>
  <conditionalFormatting sqref="C28:F28">
    <cfRule type="expression" dxfId="1" priority="54">
      <formula>$C$28&gt;$H$14</formula>
    </cfRule>
  </conditionalFormatting>
  <conditionalFormatting sqref="G28:J28">
    <cfRule type="expression" dxfId="1" priority="43">
      <formula>$G$28&gt;$H$14</formula>
    </cfRule>
  </conditionalFormatting>
  <conditionalFormatting sqref="L28:O28">
    <cfRule type="expression" dxfId="1" priority="29">
      <formula>$L$28&gt;$M$14</formula>
    </cfRule>
  </conditionalFormatting>
  <conditionalFormatting sqref="P28:R28">
    <cfRule type="expression" dxfId="1" priority="9">
      <formula>$P$28&gt;$M$14</formula>
    </cfRule>
  </conditionalFormatting>
  <conditionalFormatting sqref="Q29">
    <cfRule type="expression" dxfId="2" priority="8">
      <formula>数据表!$C$38+数据表!$C$44</formula>
    </cfRule>
  </conditionalFormatting>
  <dataValidations count="1">
    <dataValidation type="list" allowBlank="1" showInputMessage="1" showErrorMessage="1" sqref="J29:M29">
      <formula1>数据表!$D$46:$D$47</formula1>
    </dataValidation>
  </dataValidations>
  <hyperlinks>
    <hyperlink ref="Q2:S3" location="当前时间项目推荐!A11" display="确定自身倾向后，可以查看当前时间的最优策略"/>
    <hyperlink ref="B1" location="表格使用说明!A1" display="查看表格使用说明"/>
    <hyperlink ref="R6:S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zoomScale="130" zoomScaleNormal="130" workbookViewId="0">
      <selection activeCell="A11" sqref="A11"/>
    </sheetView>
  </sheetViews>
  <sheetFormatPr defaultColWidth="8.88888888888889" defaultRowHeight="14.4"/>
  <cols>
    <col min="1" max="1" width="2.55555555555556" customWidth="1"/>
    <col min="2" max="2" width="13.5833333333333" customWidth="1"/>
    <col min="3" max="3" width="7.86111111111111" customWidth="1"/>
    <col min="4" max="4" width="6.40740740740741" customWidth="1"/>
    <col min="5" max="5" width="4.77777777777778" customWidth="1"/>
    <col min="6" max="6" width="16.7777777777778" customWidth="1"/>
    <col min="7" max="7" width="4.52777777777778" customWidth="1"/>
    <col min="8" max="8" width="18" customWidth="1"/>
    <col min="9" max="9" width="2.38888888888889" customWidth="1"/>
    <col min="10" max="10" width="13.1574074074074" customWidth="1"/>
    <col min="11" max="11" width="7" customWidth="1"/>
    <col min="12" max="12" width="6.40740740740741" customWidth="1"/>
    <col min="13" max="13" width="2.30555555555556" customWidth="1"/>
    <col min="14" max="14" width="18.5462962962963" customWidth="1"/>
  </cols>
  <sheetData>
    <row r="1" ht="15.15" spans="1:19">
      <c r="A1" s="257"/>
      <c r="B1" s="257"/>
      <c r="C1" s="257"/>
      <c r="D1" s="257"/>
      <c r="E1" s="257"/>
      <c r="F1" s="257"/>
      <c r="G1" s="257"/>
      <c r="H1" s="257"/>
      <c r="I1" s="257"/>
      <c r="J1" s="257"/>
      <c r="K1" s="257"/>
      <c r="L1" s="257"/>
      <c r="M1" s="257"/>
      <c r="N1" s="257"/>
      <c r="O1" s="257"/>
      <c r="P1" s="257"/>
      <c r="Q1" s="257"/>
      <c r="R1" s="257"/>
      <c r="S1" s="257"/>
    </row>
    <row r="2" ht="15.15" spans="1:19">
      <c r="A2" s="257"/>
      <c r="B2" s="257"/>
      <c r="C2" s="257"/>
      <c r="D2" s="257"/>
      <c r="E2" s="318" t="s">
        <v>150</v>
      </c>
      <c r="F2" s="319" t="s">
        <v>151</v>
      </c>
      <c r="G2" s="320" t="s">
        <v>150</v>
      </c>
      <c r="H2" s="260" t="s">
        <v>151</v>
      </c>
      <c r="I2" s="257"/>
      <c r="J2" s="257"/>
      <c r="K2" s="257"/>
      <c r="L2" s="257"/>
      <c r="M2" s="257"/>
      <c r="N2" s="257"/>
      <c r="O2" s="257"/>
      <c r="P2" s="257"/>
      <c r="Q2" s="257"/>
      <c r="R2" s="257"/>
      <c r="S2" s="257"/>
    </row>
    <row r="3" spans="1:19">
      <c r="A3" s="257"/>
      <c r="B3" s="257"/>
      <c r="C3" s="257"/>
      <c r="D3" s="257"/>
      <c r="E3" s="264">
        <v>1</v>
      </c>
      <c r="F3" s="321" t="str">
        <f ca="1">VLOOKUP(1,当前时间策略!Q3:R29,2,0)</f>
        <v>舰装解析0.5h</v>
      </c>
      <c r="G3" s="264">
        <v>15</v>
      </c>
      <c r="H3" s="322" t="str">
        <f ca="1">VLOOKUP(15,当前时间策略!Q3:R29,2,0)</f>
        <v>金数据收集4h</v>
      </c>
      <c r="I3" s="257"/>
      <c r="J3" s="257"/>
      <c r="K3" s="257"/>
      <c r="L3" s="257"/>
      <c r="M3" s="257"/>
      <c r="N3" s="257"/>
      <c r="O3" s="257"/>
      <c r="P3" s="257"/>
      <c r="Q3" s="257"/>
      <c r="R3" s="257"/>
      <c r="S3" s="257"/>
    </row>
    <row r="4" spans="1:19">
      <c r="A4" s="257"/>
      <c r="B4" s="257"/>
      <c r="C4" s="257"/>
      <c r="D4" s="257"/>
      <c r="E4" s="269">
        <v>2</v>
      </c>
      <c r="F4" s="323" t="str">
        <f ca="1">VLOOKUP(2,当前时间策略!Q3:R29,2,0)</f>
        <v>彩船定向0.5h</v>
      </c>
      <c r="G4" s="269">
        <v>16</v>
      </c>
      <c r="H4" s="324" t="str">
        <f ca="1">VLOOKUP(16,当前时间策略!Q3:R29,2,0)</f>
        <v>试验品募集2h蓝</v>
      </c>
      <c r="I4" s="257"/>
      <c r="J4" s="257"/>
      <c r="K4" s="257"/>
      <c r="L4" s="257"/>
      <c r="M4" s="257"/>
      <c r="N4" s="257"/>
      <c r="O4" s="257"/>
      <c r="P4" s="257"/>
      <c r="Q4" s="257"/>
      <c r="R4" s="257"/>
      <c r="S4" s="257"/>
    </row>
    <row r="5" spans="1:19">
      <c r="A5" s="257"/>
      <c r="B5" s="257"/>
      <c r="C5" s="257"/>
      <c r="D5" s="257"/>
      <c r="E5" s="269">
        <v>3</v>
      </c>
      <c r="F5" s="323" t="str">
        <f ca="1">VLOOKUP(3,当前时间策略!Q3:R29,2,0)</f>
        <v>金船定向0.5h</v>
      </c>
      <c r="G5" s="269">
        <v>17</v>
      </c>
      <c r="H5" s="324" t="str">
        <f ca="1">VLOOKUP(17,当前时间策略!Q3:R29,2,0)</f>
        <v>资金募集2.5h</v>
      </c>
      <c r="I5" s="257"/>
      <c r="J5" s="257"/>
      <c r="K5" s="257"/>
      <c r="L5" s="257"/>
      <c r="M5" s="257"/>
      <c r="N5" s="257"/>
      <c r="O5" s="257"/>
      <c r="P5" s="257"/>
      <c r="Q5" s="257"/>
      <c r="R5" s="257"/>
      <c r="S5" s="257"/>
    </row>
    <row r="6" spans="1:19">
      <c r="A6" s="257"/>
      <c r="B6" s="257"/>
      <c r="C6" s="257"/>
      <c r="D6" s="257"/>
      <c r="E6" s="269">
        <v>4</v>
      </c>
      <c r="F6" s="323" t="str">
        <f ca="1">VLOOKUP(4,当前时间策略!Q3:R29,2,0)</f>
        <v>舰装解析4h</v>
      </c>
      <c r="G6" s="269">
        <v>18</v>
      </c>
      <c r="H6" s="324" t="str">
        <f ca="1">VLOOKUP(18,当前时间策略!Q3:R29,2,0)</f>
        <v>研究委托3h</v>
      </c>
      <c r="I6" s="257"/>
      <c r="J6" s="257"/>
      <c r="K6" s="257"/>
      <c r="L6" s="257"/>
      <c r="M6" s="257"/>
      <c r="N6" s="257"/>
      <c r="O6" s="257"/>
      <c r="P6" s="257"/>
      <c r="Q6" s="257"/>
      <c r="R6" s="257"/>
      <c r="S6" s="257"/>
    </row>
    <row r="7" spans="1:19">
      <c r="A7" s="257"/>
      <c r="B7" s="257"/>
      <c r="C7" s="257"/>
      <c r="D7" s="257"/>
      <c r="E7" s="269">
        <v>5</v>
      </c>
      <c r="F7" s="323" t="str">
        <f ca="1">VLOOKUP(5,当前时间策略!Q3:R29,2,0)</f>
        <v>心智补全0.5h</v>
      </c>
      <c r="G7" s="269">
        <v>19</v>
      </c>
      <c r="H7" s="324" t="str">
        <f ca="1">VLOOKUP(19,当前时间策略!Q3:R29,2,0)</f>
        <v>彩船定向5h</v>
      </c>
      <c r="I7" s="257"/>
      <c r="J7" s="257"/>
      <c r="K7" s="257"/>
      <c r="L7" s="257"/>
      <c r="M7" s="257"/>
      <c r="N7" s="257"/>
      <c r="O7" s="257"/>
      <c r="P7" s="257"/>
      <c r="Q7" s="257"/>
      <c r="R7" s="257"/>
      <c r="S7" s="257"/>
    </row>
    <row r="8" ht="15.15" spans="1:19">
      <c r="A8" s="257"/>
      <c r="B8" s="257"/>
      <c r="C8" s="257"/>
      <c r="D8" s="257"/>
      <c r="E8" s="269">
        <v>6</v>
      </c>
      <c r="F8" s="323" t="str">
        <f ca="1">VLOOKUP(6,当前时间策略!Q3:R29,2,0)</f>
        <v>舰装解析2h</v>
      </c>
      <c r="G8" s="269">
        <v>20</v>
      </c>
      <c r="H8" s="324" t="str">
        <f ca="1">VLOOKUP(20,当前时间策略!Q3:R29,2,0)</f>
        <v>金船定向5h</v>
      </c>
      <c r="I8" s="257"/>
      <c r="J8" s="257"/>
      <c r="K8" s="257"/>
      <c r="L8" s="257"/>
      <c r="M8" s="257"/>
      <c r="N8" s="257"/>
      <c r="O8" s="257"/>
      <c r="P8" s="257"/>
      <c r="Q8" s="257"/>
      <c r="R8" s="257"/>
      <c r="S8" s="257"/>
    </row>
    <row r="9" spans="1:19">
      <c r="A9" s="257"/>
      <c r="B9" s="325" t="str">
        <f ca="1">IF(数据表!K39=0,"这个点了咋还没睡","当前时间")</f>
        <v>当前时间</v>
      </c>
      <c r="C9" s="326"/>
      <c r="D9" s="326"/>
      <c r="E9" s="269">
        <v>7</v>
      </c>
      <c r="F9" s="323" t="str">
        <f ca="1">VLOOKUP(7,当前时间策略!Q3:R29,2,0)</f>
        <v>舰装解析1h</v>
      </c>
      <c r="G9" s="269">
        <v>21</v>
      </c>
      <c r="H9" s="324" t="str">
        <f ca="1">VLOOKUP(21,当前时间策略!Q3:R29,2,0)</f>
        <v>魔方解析2h</v>
      </c>
      <c r="I9" s="257"/>
      <c r="J9" s="257"/>
      <c r="K9" s="257"/>
      <c r="L9" s="257"/>
      <c r="M9" s="257"/>
      <c r="N9" s="257"/>
      <c r="O9" s="257"/>
      <c r="P9" s="257"/>
      <c r="Q9" s="257"/>
      <c r="R9" s="257"/>
      <c r="S9" s="257"/>
    </row>
    <row r="10" ht="15.15" spans="1:19">
      <c r="A10" s="257"/>
      <c r="B10" s="327"/>
      <c r="C10" s="328"/>
      <c r="D10" s="328"/>
      <c r="E10" s="269">
        <v>8</v>
      </c>
      <c r="F10" s="323" t="str">
        <f ca="1">VLOOKUP(8,当前时间策略!Q3:R29,2,0)</f>
        <v>资金募集4h</v>
      </c>
      <c r="G10" s="269">
        <v>22</v>
      </c>
      <c r="H10" s="324" t="str">
        <f ca="1">VLOOKUP(22,当前时间策略!Q3:R29,2,0)</f>
        <v>彩船定向8h</v>
      </c>
      <c r="I10" s="257"/>
      <c r="J10" s="257"/>
      <c r="K10" s="257"/>
      <c r="L10" s="257"/>
      <c r="M10" s="257"/>
      <c r="N10" s="257"/>
      <c r="O10" s="257"/>
      <c r="P10" s="257"/>
      <c r="Q10" s="257"/>
      <c r="R10" s="257"/>
      <c r="S10" s="257"/>
    </row>
    <row r="11" ht="15" customHeight="1" spans="1:19">
      <c r="A11" s="257"/>
      <c r="B11" s="329">
        <f ca="1">NOW()</f>
        <v>44705.4828240741</v>
      </c>
      <c r="C11" s="330"/>
      <c r="D11" s="330"/>
      <c r="E11" s="269">
        <v>9</v>
      </c>
      <c r="F11" s="323" t="str">
        <f ca="1">VLOOKUP(9,当前时间策略!Q3:R29,2,0)</f>
        <v>资金募集1.5h</v>
      </c>
      <c r="G11" s="269">
        <v>23</v>
      </c>
      <c r="H11" s="324" t="str">
        <f ca="1">VLOOKUP(23,当前时间策略!Q3:R29,2,0)</f>
        <v>金船定向8h</v>
      </c>
      <c r="I11" s="257"/>
      <c r="J11" s="257"/>
      <c r="K11" s="257"/>
      <c r="L11" s="257"/>
      <c r="M11" s="257"/>
      <c r="N11" s="257"/>
      <c r="O11" s="257"/>
      <c r="P11" s="257"/>
      <c r="Q11" s="257"/>
      <c r="R11" s="257"/>
      <c r="S11" s="257"/>
    </row>
    <row r="12" ht="15.6" spans="1:19">
      <c r="A12" s="257"/>
      <c r="B12" s="331"/>
      <c r="C12" s="332"/>
      <c r="D12" s="332"/>
      <c r="E12" s="333">
        <v>10</v>
      </c>
      <c r="F12" s="323" t="str">
        <f ca="1">VLOOKUP(10,当前时间策略!Q3:R29,2,0)</f>
        <v>彩船定向2.5h</v>
      </c>
      <c r="G12" s="269">
        <v>24</v>
      </c>
      <c r="H12" s="324" t="str">
        <f ca="1">VLOOKUP(24,当前时间策略!Q3:R29,2,0)</f>
        <v>基础研究6h</v>
      </c>
      <c r="I12" s="257"/>
      <c r="J12" s="257"/>
      <c r="K12" s="257"/>
      <c r="L12" s="257"/>
      <c r="M12" s="257"/>
      <c r="N12" s="257"/>
      <c r="O12" s="257"/>
      <c r="P12" s="257"/>
      <c r="Q12" s="257"/>
      <c r="R12" s="257"/>
      <c r="S12" s="257"/>
    </row>
    <row r="13" ht="15" customHeight="1" spans="1:19">
      <c r="A13" s="257"/>
      <c r="B13" s="331"/>
      <c r="C13" s="332"/>
      <c r="D13" s="332"/>
      <c r="E13" s="269">
        <v>11</v>
      </c>
      <c r="F13" s="323" t="str">
        <f ca="1">VLOOKUP(11,当前时间策略!Q3:R29,2,0)</f>
        <v>金船定向2.5h</v>
      </c>
      <c r="G13" s="269">
        <v>25</v>
      </c>
      <c r="H13" s="324" t="str">
        <f ca="1">VLOOKUP(25,当前时间策略!Q3:R29,2,0)</f>
        <v>基础研究8h</v>
      </c>
      <c r="I13" s="257"/>
      <c r="J13" s="257"/>
      <c r="K13" s="257"/>
      <c r="L13" s="257"/>
      <c r="M13" s="257"/>
      <c r="N13" s="257"/>
      <c r="O13" s="257"/>
      <c r="P13" s="257"/>
      <c r="Q13" s="257"/>
      <c r="R13" s="257"/>
      <c r="S13" s="257"/>
    </row>
    <row r="14" ht="15.15" spans="1:19">
      <c r="A14" s="257"/>
      <c r="B14" s="334"/>
      <c r="C14" s="335"/>
      <c r="D14" s="335"/>
      <c r="E14" s="269">
        <v>12</v>
      </c>
      <c r="F14" s="323" t="str">
        <f ca="1">VLOOKUP(12,当前时间策略!Q3:R29,2,0)</f>
        <v>试验品募集2h紫</v>
      </c>
      <c r="G14" s="269">
        <v>26</v>
      </c>
      <c r="H14" s="324" t="str">
        <f ca="1">VLOOKUP(26,当前时间策略!Q3:R29,2,0)</f>
        <v>魔方解析4h</v>
      </c>
      <c r="I14" s="257"/>
      <c r="J14" s="257"/>
      <c r="K14" s="257"/>
      <c r="L14" s="257"/>
      <c r="M14" s="257"/>
      <c r="N14" s="257"/>
      <c r="O14" s="257"/>
      <c r="P14" s="257"/>
      <c r="Q14" s="257"/>
      <c r="R14" s="257"/>
      <c r="S14" s="257"/>
    </row>
    <row r="15" ht="16" customHeight="1" spans="1:19">
      <c r="A15" s="257"/>
      <c r="B15" s="336" t="s">
        <v>152</v>
      </c>
      <c r="C15" s="337">
        <f ca="1">当前时间策略!K39</f>
        <v>12</v>
      </c>
      <c r="D15" s="257" t="s">
        <v>153</v>
      </c>
      <c r="E15" s="269">
        <v>13</v>
      </c>
      <c r="F15" s="323" t="str">
        <f ca="1">VLOOKUP(13,当前时间策略!Q3:R29,2,0)</f>
        <v>23期舰装解析1h</v>
      </c>
      <c r="G15" s="269">
        <v>27</v>
      </c>
      <c r="H15" s="324" t="str">
        <f ca="1">VLOOKUP(27,当前时间策略!Q3:R29,2,0)</f>
        <v>基础研究12h</v>
      </c>
      <c r="I15" s="257"/>
      <c r="J15" s="257"/>
      <c r="K15" s="257"/>
      <c r="L15" s="257"/>
      <c r="M15" s="257"/>
      <c r="N15" s="257"/>
      <c r="O15" s="257"/>
      <c r="P15" s="257"/>
      <c r="Q15" s="257"/>
      <c r="R15" s="257"/>
      <c r="S15" s="257"/>
    </row>
    <row r="16" ht="15" customHeight="1" spans="1:19">
      <c r="A16" s="257"/>
      <c r="B16" s="338" t="s">
        <v>154</v>
      </c>
      <c r="C16" s="339">
        <v>1.99305555555556</v>
      </c>
      <c r="D16" s="338" t="s">
        <v>155</v>
      </c>
      <c r="E16" s="279">
        <v>14</v>
      </c>
      <c r="F16" s="340" t="str">
        <f ca="1">VLOOKUP(14,当前时间策略!Q3:R29,2,0)</f>
        <v>魔方解析1h</v>
      </c>
      <c r="G16" s="279"/>
      <c r="H16" s="341"/>
      <c r="I16" s="257"/>
      <c r="J16" s="257"/>
      <c r="K16" s="257"/>
      <c r="L16" s="257"/>
      <c r="M16" s="257"/>
      <c r="N16" s="257"/>
      <c r="O16" s="257"/>
      <c r="P16" s="257"/>
      <c r="Q16" s="257"/>
      <c r="R16" s="257"/>
      <c r="S16" s="257"/>
    </row>
    <row r="17" spans="1:19">
      <c r="A17" s="257"/>
      <c r="B17" s="342" t="s">
        <v>156</v>
      </c>
      <c r="C17" s="343"/>
      <c r="D17" s="343"/>
      <c r="E17" s="344"/>
      <c r="F17" s="345" t="s">
        <v>157</v>
      </c>
      <c r="G17" s="346"/>
      <c r="H17" s="257"/>
      <c r="I17" s="257"/>
      <c r="J17" s="257"/>
      <c r="K17" s="257"/>
      <c r="L17" s="257"/>
      <c r="M17" s="257"/>
      <c r="N17" s="257"/>
      <c r="O17" s="257"/>
      <c r="P17" s="257"/>
      <c r="Q17" s="257"/>
      <c r="R17" s="257"/>
      <c r="S17" s="257"/>
    </row>
    <row r="18" ht="15.15" spans="1:19">
      <c r="A18" s="257"/>
      <c r="B18" s="342"/>
      <c r="C18" s="343"/>
      <c r="D18" s="343"/>
      <c r="E18" s="344"/>
      <c r="F18" s="347"/>
      <c r="G18" s="348"/>
      <c r="H18" s="257"/>
      <c r="I18" s="257"/>
      <c r="J18" s="257"/>
      <c r="K18" s="257"/>
      <c r="L18" s="257"/>
      <c r="M18" s="257"/>
      <c r="N18" s="257"/>
      <c r="O18" s="257"/>
      <c r="P18" s="257"/>
      <c r="Q18" s="257"/>
      <c r="R18" s="257"/>
      <c r="S18" s="257"/>
    </row>
    <row r="19" spans="1:19">
      <c r="A19" s="257"/>
      <c r="B19" s="342"/>
      <c r="C19" s="343"/>
      <c r="D19" s="343"/>
      <c r="E19" s="344"/>
      <c r="F19" s="349" t="s">
        <v>158</v>
      </c>
      <c r="G19" s="350"/>
      <c r="H19" s="257"/>
      <c r="I19" s="257"/>
      <c r="J19" s="257"/>
      <c r="K19" s="257"/>
      <c r="L19" s="257"/>
      <c r="M19" s="257"/>
      <c r="N19" s="257"/>
      <c r="O19" s="257"/>
      <c r="P19" s="257"/>
      <c r="Q19" s="257"/>
      <c r="R19" s="257"/>
      <c r="S19" s="257"/>
    </row>
    <row r="20" spans="1:19">
      <c r="A20" s="257"/>
      <c r="B20" s="342"/>
      <c r="C20" s="343"/>
      <c r="D20" s="343"/>
      <c r="E20" s="344"/>
      <c r="F20" s="351"/>
      <c r="G20" s="352"/>
      <c r="H20" s="257"/>
      <c r="I20" s="257"/>
      <c r="J20" s="257"/>
      <c r="K20" s="257"/>
      <c r="L20" s="257"/>
      <c r="M20" s="257"/>
      <c r="N20" s="257"/>
      <c r="O20" s="257"/>
      <c r="P20" s="257"/>
      <c r="Q20" s="257"/>
      <c r="R20" s="257"/>
      <c r="S20" s="257"/>
    </row>
    <row r="21" spans="1:19">
      <c r="A21" s="257"/>
      <c r="B21" s="342"/>
      <c r="C21" s="343"/>
      <c r="D21" s="343"/>
      <c r="E21" s="344"/>
      <c r="F21" s="351"/>
      <c r="G21" s="352"/>
      <c r="H21" s="257"/>
      <c r="I21" s="257"/>
      <c r="J21" s="257"/>
      <c r="K21" s="257"/>
      <c r="L21" s="257"/>
      <c r="M21" s="257"/>
      <c r="N21" s="257"/>
      <c r="O21" s="257"/>
      <c r="P21" s="257"/>
      <c r="Q21" s="257"/>
      <c r="R21" s="257"/>
      <c r="S21" s="257"/>
    </row>
    <row r="22" ht="15.15" spans="1:19">
      <c r="A22" s="257"/>
      <c r="B22" s="353"/>
      <c r="C22" s="354"/>
      <c r="D22" s="354"/>
      <c r="E22" s="355"/>
      <c r="F22" s="356"/>
      <c r="G22" s="357"/>
      <c r="H22" s="257"/>
      <c r="I22" s="257"/>
      <c r="J22" s="257"/>
      <c r="K22" s="257"/>
      <c r="L22" s="257"/>
      <c r="M22" s="257"/>
      <c r="N22" s="257"/>
      <c r="O22" s="257"/>
      <c r="P22" s="257"/>
      <c r="Q22" s="257"/>
      <c r="R22" s="257"/>
      <c r="S22" s="257"/>
    </row>
    <row r="23" spans="1:19">
      <c r="A23" s="358"/>
      <c r="B23" s="358"/>
      <c r="C23" s="358"/>
      <c r="D23" s="358"/>
      <c r="E23" s="358"/>
      <c r="F23" s="358"/>
      <c r="G23" s="358"/>
      <c r="H23" s="358"/>
      <c r="I23" s="358"/>
      <c r="J23" s="358"/>
      <c r="K23" s="358"/>
      <c r="L23" s="358"/>
      <c r="M23" s="358"/>
      <c r="N23" s="358"/>
      <c r="O23" s="358"/>
      <c r="P23" s="358"/>
      <c r="Q23" s="358"/>
      <c r="R23" s="257"/>
      <c r="S23" s="257"/>
    </row>
    <row r="24" spans="1:19">
      <c r="A24" s="358"/>
      <c r="B24" s="358"/>
      <c r="C24" s="358"/>
      <c r="D24" s="358"/>
      <c r="E24" s="358"/>
      <c r="F24" s="358"/>
      <c r="G24" s="358"/>
      <c r="H24" s="358"/>
      <c r="I24" s="358"/>
      <c r="J24" s="358"/>
      <c r="K24" s="358"/>
      <c r="L24" s="358"/>
      <c r="M24" s="358"/>
      <c r="N24" s="358"/>
      <c r="O24" s="358"/>
      <c r="P24" s="358"/>
      <c r="Q24" s="358"/>
      <c r="R24" s="257"/>
      <c r="S24" s="257"/>
    </row>
    <row r="25" ht="15" customHeight="1" spans="1:19">
      <c r="A25" s="358"/>
      <c r="B25" s="358"/>
      <c r="C25" s="358"/>
      <c r="D25" s="358"/>
      <c r="E25" s="358"/>
      <c r="F25" s="358"/>
      <c r="G25" s="358"/>
      <c r="H25" s="358"/>
      <c r="I25" s="358"/>
      <c r="J25" s="358"/>
      <c r="K25" s="358"/>
      <c r="L25" s="358"/>
      <c r="M25" s="358"/>
      <c r="N25" s="358"/>
      <c r="O25" s="358"/>
      <c r="P25" s="358"/>
      <c r="Q25" s="358"/>
      <c r="R25" s="257"/>
      <c r="S25" s="257"/>
    </row>
    <row r="26" spans="1:19">
      <c r="A26" s="358"/>
      <c r="B26" s="358"/>
      <c r="C26" s="358"/>
      <c r="D26" s="358"/>
      <c r="E26" s="358"/>
      <c r="F26" s="358"/>
      <c r="G26" s="358"/>
      <c r="H26" s="358"/>
      <c r="I26" s="358"/>
      <c r="J26" s="358"/>
      <c r="K26" s="358"/>
      <c r="L26" s="358"/>
      <c r="M26" s="358"/>
      <c r="N26" s="358"/>
      <c r="O26" s="358"/>
      <c r="P26" s="358"/>
      <c r="Q26" s="358"/>
      <c r="R26" s="257"/>
      <c r="S26" s="257"/>
    </row>
    <row r="27" spans="1:19">
      <c r="A27" s="358"/>
      <c r="B27" s="358"/>
      <c r="C27" s="358"/>
      <c r="D27" s="358"/>
      <c r="E27" s="358"/>
      <c r="F27" s="358"/>
      <c r="G27" s="358"/>
      <c r="H27" s="358"/>
      <c r="I27" s="358"/>
      <c r="J27" s="358"/>
      <c r="K27" s="358"/>
      <c r="L27" s="358"/>
      <c r="M27" s="358"/>
      <c r="N27" s="358"/>
      <c r="O27" s="358"/>
      <c r="P27" s="358"/>
      <c r="Q27" s="358"/>
      <c r="R27" s="257"/>
      <c r="S27" s="257"/>
    </row>
    <row r="28" spans="1:19">
      <c r="A28" s="358"/>
      <c r="B28" s="358"/>
      <c r="C28" s="358"/>
      <c r="D28" s="358"/>
      <c r="E28" s="358"/>
      <c r="F28" s="358"/>
      <c r="G28" s="358"/>
      <c r="H28" s="358"/>
      <c r="I28" s="358"/>
      <c r="J28" s="358"/>
      <c r="K28" s="358"/>
      <c r="L28" s="358"/>
      <c r="M28" s="358"/>
      <c r="N28" s="358"/>
      <c r="O28" s="358"/>
      <c r="P28" s="358"/>
      <c r="Q28" s="358"/>
      <c r="R28" s="257"/>
      <c r="S28" s="257"/>
    </row>
    <row r="29" spans="1:19">
      <c r="A29" s="358"/>
      <c r="B29" s="358"/>
      <c r="C29" s="358"/>
      <c r="D29" s="358"/>
      <c r="E29" s="358"/>
      <c r="F29" s="358"/>
      <c r="G29" s="358"/>
      <c r="H29" s="358"/>
      <c r="I29" s="358"/>
      <c r="J29" s="358"/>
      <c r="K29" s="358"/>
      <c r="L29" s="358"/>
      <c r="M29" s="358"/>
      <c r="N29" s="358"/>
      <c r="O29" s="358"/>
      <c r="P29" s="358"/>
      <c r="Q29" s="358"/>
      <c r="R29" s="257"/>
      <c r="S29" s="257"/>
    </row>
    <row r="30" spans="1:19">
      <c r="A30" s="358"/>
      <c r="B30" s="358"/>
      <c r="C30" s="358"/>
      <c r="D30" s="358"/>
      <c r="E30" s="358"/>
      <c r="F30" s="358"/>
      <c r="G30" s="358"/>
      <c r="H30" s="358"/>
      <c r="I30" s="358"/>
      <c r="J30" s="358"/>
      <c r="K30" s="358"/>
      <c r="L30" s="358"/>
      <c r="M30" s="358"/>
      <c r="N30" s="358"/>
      <c r="O30" s="358"/>
      <c r="P30" s="358"/>
      <c r="Q30" s="358"/>
      <c r="R30" s="257"/>
      <c r="S30" s="257"/>
    </row>
    <row r="31" spans="1:19">
      <c r="A31" s="358"/>
      <c r="B31" s="358"/>
      <c r="C31" s="358"/>
      <c r="D31" s="358"/>
      <c r="E31" s="358"/>
      <c r="F31" s="358"/>
      <c r="G31" s="358"/>
      <c r="H31" s="358"/>
      <c r="I31" s="358"/>
      <c r="J31" s="358"/>
      <c r="K31" s="358"/>
      <c r="L31" s="358"/>
      <c r="M31" s="358"/>
      <c r="N31" s="358"/>
      <c r="O31" s="358"/>
      <c r="P31" s="358"/>
      <c r="Q31" s="358"/>
      <c r="R31" s="257"/>
      <c r="S31" s="257"/>
    </row>
    <row r="32" spans="1:19">
      <c r="A32" s="358"/>
      <c r="B32" s="358"/>
      <c r="C32" s="358"/>
      <c r="D32" s="358"/>
      <c r="E32" s="358"/>
      <c r="F32" s="358"/>
      <c r="G32" s="358"/>
      <c r="H32" s="358"/>
      <c r="I32" s="358"/>
      <c r="J32" s="358"/>
      <c r="K32" s="358"/>
      <c r="L32" s="358"/>
      <c r="M32" s="358"/>
      <c r="N32" s="358"/>
      <c r="O32" s="358"/>
      <c r="P32" s="358"/>
      <c r="Q32" s="358"/>
      <c r="R32" s="257"/>
      <c r="S32" s="257"/>
    </row>
    <row r="33" spans="1:19">
      <c r="A33" s="358"/>
      <c r="B33" s="358"/>
      <c r="C33" s="358"/>
      <c r="D33" s="358"/>
      <c r="E33" s="358"/>
      <c r="F33" s="358"/>
      <c r="G33" s="358"/>
      <c r="H33" s="358"/>
      <c r="I33" s="358"/>
      <c r="J33" s="358"/>
      <c r="K33" s="358"/>
      <c r="L33" s="358"/>
      <c r="M33" s="358"/>
      <c r="N33" s="358"/>
      <c r="O33" s="358"/>
      <c r="P33" s="358"/>
      <c r="Q33" s="358"/>
      <c r="R33" s="257"/>
      <c r="S33" s="257"/>
    </row>
    <row r="34" spans="1:19">
      <c r="A34" s="358"/>
      <c r="B34" s="358"/>
      <c r="C34" s="358"/>
      <c r="D34" s="358"/>
      <c r="E34" s="358"/>
      <c r="F34" s="358"/>
      <c r="G34" s="358"/>
      <c r="H34" s="358"/>
      <c r="I34" s="358"/>
      <c r="J34" s="358"/>
      <c r="K34" s="358"/>
      <c r="L34" s="358"/>
      <c r="M34" s="358"/>
      <c r="N34" s="358"/>
      <c r="O34" s="358"/>
      <c r="P34" s="358"/>
      <c r="Q34" s="358"/>
      <c r="R34" s="257"/>
      <c r="S34" s="257"/>
    </row>
    <row r="35" spans="1:19">
      <c r="A35" s="358"/>
      <c r="B35" s="358"/>
      <c r="C35" s="358"/>
      <c r="D35" s="358"/>
      <c r="E35" s="358"/>
      <c r="F35" s="358"/>
      <c r="G35" s="358"/>
      <c r="H35" s="358"/>
      <c r="I35" s="358"/>
      <c r="J35" s="358"/>
      <c r="K35" s="358"/>
      <c r="L35" s="358"/>
      <c r="M35" s="358"/>
      <c r="N35" s="358"/>
      <c r="O35" s="358"/>
      <c r="P35" s="358"/>
      <c r="Q35" s="358"/>
      <c r="R35" s="257"/>
      <c r="S35" s="257"/>
    </row>
    <row r="36" spans="1:19">
      <c r="A36" s="358"/>
      <c r="B36" s="358"/>
      <c r="C36" s="358"/>
      <c r="D36" s="358"/>
      <c r="E36" s="358"/>
      <c r="F36" s="358"/>
      <c r="G36" s="358"/>
      <c r="H36" s="358"/>
      <c r="I36" s="358"/>
      <c r="J36" s="358"/>
      <c r="K36" s="358"/>
      <c r="L36" s="358"/>
      <c r="M36" s="358"/>
      <c r="N36" s="358"/>
      <c r="O36" s="358"/>
      <c r="P36" s="358"/>
      <c r="Q36" s="358"/>
      <c r="R36" s="257"/>
      <c r="S36" s="257"/>
    </row>
    <row r="37" spans="1:19">
      <c r="A37" s="358"/>
      <c r="B37" s="358"/>
      <c r="C37" s="358"/>
      <c r="D37" s="358"/>
      <c r="E37" s="358"/>
      <c r="F37" s="358"/>
      <c r="G37" s="358"/>
      <c r="H37" s="358"/>
      <c r="I37" s="358"/>
      <c r="J37" s="358"/>
      <c r="K37" s="358"/>
      <c r="L37" s="358"/>
      <c r="M37" s="358"/>
      <c r="N37" s="358"/>
      <c r="O37" s="358"/>
      <c r="P37" s="358"/>
      <c r="Q37" s="358"/>
      <c r="R37" s="257"/>
      <c r="S37" s="257"/>
    </row>
    <row r="38" spans="1:19">
      <c r="A38" s="358"/>
      <c r="B38" s="358"/>
      <c r="C38" s="358"/>
      <c r="D38" s="358"/>
      <c r="E38" s="358"/>
      <c r="F38" s="358"/>
      <c r="G38" s="358"/>
      <c r="H38" s="358"/>
      <c r="I38" s="358"/>
      <c r="J38" s="358"/>
      <c r="K38" s="358"/>
      <c r="L38" s="358"/>
      <c r="M38" s="358"/>
      <c r="N38" s="358"/>
      <c r="O38" s="358"/>
      <c r="P38" s="358"/>
      <c r="Q38" s="358"/>
      <c r="R38" s="257"/>
      <c r="S38" s="257"/>
    </row>
    <row r="39" spans="1:19">
      <c r="A39" s="358"/>
      <c r="B39" s="358"/>
      <c r="C39" s="358"/>
      <c r="D39" s="358"/>
      <c r="E39" s="358"/>
      <c r="F39" s="358"/>
      <c r="G39" s="358"/>
      <c r="H39" s="358"/>
      <c r="I39" s="358"/>
      <c r="J39" s="358"/>
      <c r="K39" s="358"/>
      <c r="L39" s="358"/>
      <c r="M39" s="358"/>
      <c r="N39" s="358"/>
      <c r="O39" s="358"/>
      <c r="P39" s="358"/>
      <c r="Q39" s="358"/>
      <c r="R39" s="257"/>
      <c r="S39" s="257"/>
    </row>
    <row r="40" spans="1:19">
      <c r="A40" s="358"/>
      <c r="B40" s="358"/>
      <c r="C40" s="358"/>
      <c r="D40" s="358"/>
      <c r="E40" s="358"/>
      <c r="F40" s="358"/>
      <c r="G40" s="358"/>
      <c r="H40" s="358"/>
      <c r="I40" s="358"/>
      <c r="J40" s="358"/>
      <c r="K40" s="358"/>
      <c r="L40" s="358"/>
      <c r="M40" s="358"/>
      <c r="N40" s="358"/>
      <c r="O40" s="358"/>
      <c r="P40" s="358"/>
      <c r="Q40" s="358"/>
      <c r="R40" s="257"/>
      <c r="S40" s="257"/>
    </row>
    <row r="41" spans="1:19">
      <c r="A41" s="358"/>
      <c r="B41" s="358"/>
      <c r="C41" s="358"/>
      <c r="D41" s="358"/>
      <c r="E41" s="358"/>
      <c r="F41" s="358"/>
      <c r="G41" s="358"/>
      <c r="H41" s="358"/>
      <c r="I41" s="358"/>
      <c r="J41" s="358"/>
      <c r="K41" s="358"/>
      <c r="L41" s="358"/>
      <c r="M41" s="358"/>
      <c r="N41" s="358"/>
      <c r="O41" s="358"/>
      <c r="P41" s="358"/>
      <c r="Q41" s="358"/>
      <c r="R41" s="257"/>
      <c r="S41" s="257"/>
    </row>
    <row r="42" spans="1:19">
      <c r="A42" s="358"/>
      <c r="B42" s="358"/>
      <c r="C42" s="358"/>
      <c r="D42" s="358"/>
      <c r="E42" s="358"/>
      <c r="F42" s="358"/>
      <c r="G42" s="358"/>
      <c r="H42" s="358"/>
      <c r="I42" s="358"/>
      <c r="J42" s="358"/>
      <c r="K42" s="358"/>
      <c r="L42" s="358"/>
      <c r="M42" s="358"/>
      <c r="N42" s="358"/>
      <c r="O42" s="358"/>
      <c r="P42" s="358"/>
      <c r="Q42" s="358"/>
      <c r="R42" s="257"/>
      <c r="S42" s="257"/>
    </row>
  </sheetData>
  <mergeCells count="5">
    <mergeCell ref="B17:E22"/>
    <mergeCell ref="F17:G18"/>
    <mergeCell ref="F19:G22"/>
    <mergeCell ref="B9:D10"/>
    <mergeCell ref="B11:D14"/>
  </mergeCells>
  <conditionalFormatting sqref="E3:F3">
    <cfRule type="expression" dxfId="1" priority="27">
      <formula>$C$15&lt;1</formula>
    </cfRule>
  </conditionalFormatting>
  <conditionalFormatting sqref="G3:H3">
    <cfRule type="expression" dxfId="1" priority="13">
      <formula>$C$15&lt;15</formula>
    </cfRule>
  </conditionalFormatting>
  <conditionalFormatting sqref="E4:F4">
    <cfRule type="expression" dxfId="1" priority="26">
      <formula>$C$15&lt;2</formula>
    </cfRule>
  </conditionalFormatting>
  <conditionalFormatting sqref="G4:H4">
    <cfRule type="expression" dxfId="1" priority="12">
      <formula>$C$15&lt;16</formula>
    </cfRule>
  </conditionalFormatting>
  <conditionalFormatting sqref="E5:F5">
    <cfRule type="expression" dxfId="1" priority="24">
      <formula>$C$15&lt;3</formula>
    </cfRule>
  </conditionalFormatting>
  <conditionalFormatting sqref="G5:H5">
    <cfRule type="expression" dxfId="1" priority="11">
      <formula>$C$15&lt;17</formula>
    </cfRule>
  </conditionalFormatting>
  <conditionalFormatting sqref="E6:F6">
    <cfRule type="expression" dxfId="1" priority="23">
      <formula>$C$15&lt;4</formula>
    </cfRule>
  </conditionalFormatting>
  <conditionalFormatting sqref="G6:H6">
    <cfRule type="expression" dxfId="1" priority="10">
      <formula>$C$15&lt;18</formula>
    </cfRule>
  </conditionalFormatting>
  <conditionalFormatting sqref="E7:F7">
    <cfRule type="expression" dxfId="1" priority="22">
      <formula>$C$15&lt;5</formula>
    </cfRule>
  </conditionalFormatting>
  <conditionalFormatting sqref="G7:H7">
    <cfRule type="expression" dxfId="1" priority="9">
      <formula>$C$15&lt;19</formula>
    </cfRule>
  </conditionalFormatting>
  <conditionalFormatting sqref="E8:F8">
    <cfRule type="expression" priority="21">
      <formula>$C$15&lt;6</formula>
    </cfRule>
  </conditionalFormatting>
  <conditionalFormatting sqref="G8:H8">
    <cfRule type="expression" dxfId="1" priority="8">
      <formula>$C$15&lt;20</formula>
    </cfRule>
  </conditionalFormatting>
  <conditionalFormatting sqref="E9:F9">
    <cfRule type="expression" dxfId="1" priority="20">
      <formula>$C$15&lt;7</formula>
    </cfRule>
  </conditionalFormatting>
  <conditionalFormatting sqref="G9:H9">
    <cfRule type="expression" dxfId="1" priority="7">
      <formula>$C$15&lt;21</formula>
    </cfRule>
  </conditionalFormatting>
  <conditionalFormatting sqref="E10:F10">
    <cfRule type="expression" dxfId="1" priority="19">
      <formula>$C$15&lt;8</formula>
    </cfRule>
  </conditionalFormatting>
  <conditionalFormatting sqref="G10:H10">
    <cfRule type="expression" dxfId="1" priority="6">
      <formula>$C$15&lt;22</formula>
    </cfRule>
  </conditionalFormatting>
  <conditionalFormatting sqref="E11:F11">
    <cfRule type="expression" dxfId="1" priority="18">
      <formula>$C$15&lt;9</formula>
    </cfRule>
  </conditionalFormatting>
  <conditionalFormatting sqref="G11:H11">
    <cfRule type="expression" dxfId="1" priority="5">
      <formula>$C$15&lt;23</formula>
    </cfRule>
  </conditionalFormatting>
  <conditionalFormatting sqref="E12:F12">
    <cfRule type="expression" dxfId="1" priority="17">
      <formula>$C$15&lt;10</formula>
    </cfRule>
  </conditionalFormatting>
  <conditionalFormatting sqref="G12:H12">
    <cfRule type="expression" dxfId="1" priority="4">
      <formula>$C$15&lt;24</formula>
    </cfRule>
  </conditionalFormatting>
  <conditionalFormatting sqref="E13:F13">
    <cfRule type="expression" dxfId="1" priority="16">
      <formula>$C$15&lt;11</formula>
    </cfRule>
  </conditionalFormatting>
  <conditionalFormatting sqref="G13:H13">
    <cfRule type="expression" dxfId="1" priority="3">
      <formula>$C$15&lt;25</formula>
    </cfRule>
  </conditionalFormatting>
  <conditionalFormatting sqref="E14:F14">
    <cfRule type="expression" dxfId="1" priority="15">
      <formula>$C$15&lt;12</formula>
    </cfRule>
  </conditionalFormatting>
  <conditionalFormatting sqref="G14:H14">
    <cfRule type="expression" dxfId="1" priority="2">
      <formula>$C$15&lt;26</formula>
    </cfRule>
  </conditionalFormatting>
  <conditionalFormatting sqref="E15:F15">
    <cfRule type="expression" dxfId="1" priority="25">
      <formula>$C$15&lt;13</formula>
    </cfRule>
  </conditionalFormatting>
  <conditionalFormatting sqref="G15:H15">
    <cfRule type="expression" dxfId="1" priority="1">
      <formula>$C$15&lt;$G$15</formula>
    </cfRule>
  </conditionalFormatting>
  <conditionalFormatting sqref="E16:F16">
    <cfRule type="expression" dxfId="1"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L31"/>
  <sheetViews>
    <sheetView zoomScale="140" zoomScaleNormal="140" workbookViewId="0">
      <selection activeCell="K18" sqref="K18"/>
    </sheetView>
  </sheetViews>
  <sheetFormatPr defaultColWidth="8.88888888888889" defaultRowHeight="14.4"/>
  <cols>
    <col min="1" max="1" width="4.43518518518519" customWidth="1"/>
    <col min="2" max="2" width="12.8888888888889" customWidth="1"/>
    <col min="5" max="5" width="23" customWidth="1"/>
  </cols>
  <sheetData>
    <row r="1" ht="15.15" spans="1:272">
      <c r="A1" s="257"/>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c r="DG1" s="257"/>
      <c r="DH1" s="257"/>
      <c r="DI1" s="257"/>
      <c r="DJ1" s="257"/>
      <c r="DK1" s="257"/>
      <c r="DL1" s="257"/>
      <c r="DM1" s="257"/>
      <c r="DN1" s="257"/>
      <c r="DO1" s="257"/>
      <c r="DP1" s="257"/>
      <c r="DQ1" s="257"/>
      <c r="DR1" s="257"/>
      <c r="DS1" s="257"/>
      <c r="DT1" s="257"/>
      <c r="DU1" s="257"/>
      <c r="DV1" s="257"/>
      <c r="DW1" s="257"/>
      <c r="DX1" s="257"/>
      <c r="DY1" s="257"/>
      <c r="DZ1" s="257"/>
      <c r="EA1" s="257"/>
      <c r="EB1" s="257"/>
      <c r="EC1" s="257"/>
      <c r="ED1" s="257"/>
      <c r="EE1" s="257"/>
      <c r="EF1" s="257"/>
      <c r="EG1" s="317"/>
      <c r="EH1" s="317"/>
      <c r="EI1" s="317"/>
      <c r="EJ1" s="317"/>
      <c r="EK1" s="317"/>
      <c r="EL1" s="317"/>
      <c r="EM1" s="317"/>
      <c r="EN1" s="317"/>
      <c r="EO1" s="317"/>
      <c r="EP1" s="317"/>
      <c r="EQ1" s="317"/>
      <c r="ER1" s="317"/>
      <c r="ES1" s="317"/>
      <c r="ET1" s="317"/>
      <c r="EU1" s="317"/>
      <c r="EV1" s="317"/>
      <c r="EW1" s="317"/>
      <c r="EX1" s="317"/>
      <c r="EY1" s="317"/>
      <c r="EZ1" s="317"/>
      <c r="FA1" s="317"/>
      <c r="FB1" s="317"/>
      <c r="FC1" s="317"/>
      <c r="FD1" s="317"/>
      <c r="FE1" s="317"/>
      <c r="FF1" s="317"/>
      <c r="FG1" s="317"/>
      <c r="FH1" s="317"/>
      <c r="FI1" s="317"/>
      <c r="FJ1" s="317"/>
      <c r="FK1" s="317"/>
      <c r="FL1" s="317"/>
      <c r="FM1" s="317"/>
      <c r="FN1" s="317"/>
      <c r="FO1" s="317"/>
      <c r="FP1" s="317"/>
      <c r="FQ1" s="317"/>
      <c r="FR1" s="317"/>
      <c r="FS1" s="317"/>
      <c r="FT1" s="317"/>
      <c r="FU1" s="317"/>
      <c r="FV1" s="317"/>
      <c r="FW1" s="317"/>
      <c r="FX1" s="317"/>
      <c r="FY1" s="317"/>
      <c r="FZ1" s="317"/>
      <c r="GA1" s="317"/>
      <c r="GB1" s="317"/>
      <c r="GC1" s="317"/>
      <c r="GD1" s="317"/>
      <c r="GE1" s="317"/>
      <c r="GF1" s="317"/>
      <c r="GG1" s="317"/>
      <c r="GH1" s="317"/>
      <c r="GI1" s="317"/>
      <c r="GJ1" s="317"/>
      <c r="GK1" s="317"/>
      <c r="GL1" s="317"/>
      <c r="GM1" s="317"/>
      <c r="GN1" s="317"/>
      <c r="GO1" s="317"/>
      <c r="GP1" s="317"/>
      <c r="GQ1" s="317"/>
      <c r="GR1" s="317"/>
      <c r="GS1" s="317"/>
      <c r="GT1" s="317"/>
      <c r="GU1" s="317"/>
      <c r="GV1" s="317"/>
      <c r="GW1" s="317"/>
      <c r="GX1" s="317"/>
      <c r="GY1" s="317"/>
      <c r="GZ1" s="317"/>
      <c r="HA1" s="317"/>
      <c r="HB1" s="317"/>
      <c r="HC1" s="317"/>
      <c r="HD1" s="317"/>
      <c r="HE1" s="317"/>
      <c r="HF1" s="317"/>
      <c r="HG1" s="317"/>
      <c r="HH1" s="317"/>
      <c r="HI1" s="317"/>
      <c r="HJ1" s="317"/>
      <c r="HK1" s="317"/>
      <c r="HL1" s="317"/>
      <c r="HM1" s="317"/>
      <c r="HN1" s="317"/>
      <c r="HO1" s="317"/>
      <c r="HP1" s="317"/>
      <c r="HQ1" s="317"/>
      <c r="HR1" s="317"/>
      <c r="HS1" s="317"/>
      <c r="HT1" s="317"/>
      <c r="HU1" s="317"/>
      <c r="HV1" s="317"/>
      <c r="HW1" s="317"/>
      <c r="HX1" s="317"/>
      <c r="HY1" s="317"/>
      <c r="HZ1" s="317"/>
      <c r="IA1" s="317"/>
      <c r="IB1" s="317"/>
      <c r="IC1" s="317"/>
      <c r="ID1" s="317"/>
      <c r="IE1" s="317"/>
      <c r="IF1" s="317"/>
      <c r="IG1" s="317"/>
      <c r="IH1" s="317"/>
      <c r="II1" s="317"/>
      <c r="IJ1" s="317"/>
      <c r="IK1" s="317"/>
      <c r="IL1" s="317"/>
      <c r="IM1" s="317"/>
      <c r="IN1" s="317"/>
      <c r="IO1" s="317"/>
      <c r="IP1" s="317"/>
      <c r="IQ1" s="317"/>
      <c r="IR1" s="317"/>
      <c r="IS1" s="317"/>
      <c r="IT1" s="317"/>
      <c r="IU1" s="317"/>
      <c r="IV1" s="317"/>
      <c r="IW1" s="317"/>
      <c r="IX1" s="317"/>
      <c r="IY1" s="317"/>
      <c r="IZ1" s="317"/>
      <c r="JA1" s="317"/>
      <c r="JB1" s="317"/>
      <c r="JC1" s="317"/>
      <c r="JD1" s="317"/>
      <c r="JE1" s="317"/>
      <c r="JF1" s="317"/>
      <c r="JG1" s="317"/>
      <c r="JH1" s="317"/>
      <c r="JI1" s="317"/>
      <c r="JJ1" s="317"/>
      <c r="JK1" s="317"/>
      <c r="JL1" s="317"/>
    </row>
    <row r="2" ht="16.35" spans="1:272">
      <c r="A2" s="257"/>
      <c r="B2" s="297" t="s">
        <v>159</v>
      </c>
      <c r="C2" s="298" t="s">
        <v>160</v>
      </c>
      <c r="D2" s="299" t="s">
        <v>161</v>
      </c>
      <c r="E2" s="300" t="s">
        <v>162</v>
      </c>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c r="DG2" s="257"/>
      <c r="DH2" s="257"/>
      <c r="DI2" s="257"/>
      <c r="DJ2" s="257"/>
      <c r="DK2" s="257"/>
      <c r="DL2" s="257"/>
      <c r="DM2" s="257"/>
      <c r="DN2" s="257"/>
      <c r="DO2" s="257"/>
      <c r="DP2" s="257"/>
      <c r="DQ2" s="257"/>
      <c r="DR2" s="257"/>
      <c r="DS2" s="257"/>
      <c r="DT2" s="257"/>
      <c r="DU2" s="257"/>
      <c r="DV2" s="257"/>
      <c r="DW2" s="257"/>
      <c r="DX2" s="257"/>
      <c r="DY2" s="257"/>
      <c r="DZ2" s="257"/>
      <c r="EA2" s="257"/>
      <c r="EB2" s="257"/>
      <c r="EC2" s="257"/>
      <c r="ED2" s="257"/>
      <c r="EE2" s="257"/>
      <c r="EF2" s="257"/>
      <c r="EG2" s="317"/>
      <c r="EH2" s="317"/>
      <c r="EI2" s="317"/>
      <c r="EJ2" s="317"/>
      <c r="EK2" s="317"/>
      <c r="EL2" s="317"/>
      <c r="EM2" s="317"/>
      <c r="EN2" s="317"/>
      <c r="EO2" s="317"/>
      <c r="EP2" s="317"/>
      <c r="EQ2" s="317"/>
      <c r="ER2" s="317"/>
      <c r="ES2" s="317"/>
      <c r="ET2" s="317"/>
      <c r="EU2" s="317"/>
      <c r="EV2" s="317"/>
      <c r="EW2" s="317"/>
      <c r="EX2" s="317"/>
      <c r="EY2" s="317"/>
      <c r="EZ2" s="317"/>
      <c r="FA2" s="317"/>
      <c r="FB2" s="317"/>
      <c r="FC2" s="317"/>
      <c r="FD2" s="317"/>
      <c r="FE2" s="317"/>
      <c r="FF2" s="317"/>
      <c r="FG2" s="317"/>
      <c r="FH2" s="317"/>
      <c r="FI2" s="317"/>
      <c r="FJ2" s="317"/>
      <c r="FK2" s="317"/>
      <c r="FL2" s="317"/>
      <c r="FM2" s="317"/>
      <c r="FN2" s="317"/>
      <c r="FO2" s="317"/>
      <c r="FP2" s="317"/>
      <c r="FQ2" s="317"/>
      <c r="FR2" s="317"/>
      <c r="FS2" s="317"/>
      <c r="FT2" s="317"/>
      <c r="FU2" s="317"/>
      <c r="FV2" s="317"/>
      <c r="FW2" s="317"/>
      <c r="FX2" s="317"/>
      <c r="FY2" s="317"/>
      <c r="FZ2" s="317"/>
      <c r="GA2" s="317"/>
      <c r="GB2" s="317"/>
      <c r="GC2" s="317"/>
      <c r="GD2" s="317"/>
      <c r="GE2" s="317"/>
      <c r="GF2" s="317"/>
      <c r="GG2" s="317"/>
      <c r="GH2" s="317"/>
      <c r="GI2" s="317"/>
      <c r="GJ2" s="317"/>
      <c r="GK2" s="317"/>
      <c r="GL2" s="317"/>
      <c r="GM2" s="317"/>
      <c r="GN2" s="317"/>
      <c r="GO2" s="317"/>
      <c r="GP2" s="317"/>
      <c r="GQ2" s="317"/>
      <c r="GR2" s="317"/>
      <c r="GS2" s="317"/>
      <c r="GT2" s="317"/>
      <c r="GU2" s="317"/>
      <c r="GV2" s="317"/>
      <c r="GW2" s="317"/>
      <c r="GX2" s="317"/>
      <c r="GY2" s="317"/>
      <c r="GZ2" s="317"/>
      <c r="HA2" s="317"/>
      <c r="HB2" s="317"/>
      <c r="HC2" s="317"/>
      <c r="HD2" s="317"/>
      <c r="HE2" s="317"/>
      <c r="HF2" s="317"/>
      <c r="HG2" s="317"/>
      <c r="HH2" s="317"/>
      <c r="HI2" s="317"/>
      <c r="HJ2" s="317"/>
      <c r="HK2" s="317"/>
      <c r="HL2" s="317"/>
      <c r="HM2" s="317"/>
      <c r="HN2" s="317"/>
      <c r="HO2" s="317"/>
      <c r="HP2" s="317"/>
      <c r="HQ2" s="317"/>
      <c r="HR2" s="317"/>
      <c r="HS2" s="317"/>
      <c r="HT2" s="317"/>
      <c r="HU2" s="317"/>
      <c r="HV2" s="317"/>
      <c r="HW2" s="317"/>
      <c r="HX2" s="317"/>
      <c r="HY2" s="317"/>
      <c r="HZ2" s="317"/>
      <c r="IA2" s="317"/>
      <c r="IB2" s="317"/>
      <c r="IC2" s="317"/>
      <c r="ID2" s="317"/>
      <c r="IE2" s="317"/>
      <c r="IF2" s="317"/>
      <c r="IG2" s="317"/>
      <c r="IH2" s="317"/>
      <c r="II2" s="317"/>
      <c r="IJ2" s="317"/>
      <c r="IK2" s="317"/>
      <c r="IL2" s="317"/>
      <c r="IM2" s="317"/>
      <c r="IN2" s="317"/>
      <c r="IO2" s="317"/>
      <c r="IP2" s="317"/>
      <c r="IQ2" s="317"/>
      <c r="IR2" s="317"/>
      <c r="IS2" s="317"/>
      <c r="IT2" s="317"/>
      <c r="IU2" s="317"/>
      <c r="IV2" s="317"/>
      <c r="IW2" s="317"/>
      <c r="IX2" s="317"/>
      <c r="IY2" s="317"/>
      <c r="IZ2" s="317"/>
      <c r="JA2" s="317"/>
      <c r="JB2" s="317"/>
      <c r="JC2" s="317"/>
      <c r="JD2" s="317"/>
      <c r="JE2" s="317"/>
      <c r="JF2" s="317"/>
      <c r="JG2" s="317"/>
      <c r="JH2" s="317"/>
      <c r="JI2" s="317"/>
      <c r="JJ2" s="317"/>
      <c r="JK2" s="317"/>
      <c r="JL2" s="317"/>
    </row>
    <row r="3" ht="15.6" spans="1:272">
      <c r="A3" s="257"/>
      <c r="B3" s="301" t="s">
        <v>163</v>
      </c>
      <c r="C3" s="302">
        <v>100</v>
      </c>
      <c r="D3" s="303">
        <v>513</v>
      </c>
      <c r="E3" s="304">
        <f ca="1">IF(D3&gt;C3,NOW()+数据表!S120,数据表!P94)</f>
        <v>45041.9987193377</v>
      </c>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c r="CD3" s="257"/>
      <c r="CE3" s="257"/>
      <c r="CF3" s="257"/>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c r="DG3" s="257"/>
      <c r="DH3" s="257"/>
      <c r="DI3" s="257"/>
      <c r="DJ3" s="257"/>
      <c r="DK3" s="257"/>
      <c r="DL3" s="257"/>
      <c r="DM3" s="257"/>
      <c r="DN3" s="257"/>
      <c r="DO3" s="257"/>
      <c r="DP3" s="257"/>
      <c r="DQ3" s="257"/>
      <c r="DR3" s="257"/>
      <c r="DS3" s="257"/>
      <c r="DT3" s="257"/>
      <c r="DU3" s="257"/>
      <c r="DV3" s="257"/>
      <c r="DW3" s="257"/>
      <c r="DX3" s="257"/>
      <c r="DY3" s="257"/>
      <c r="DZ3" s="257"/>
      <c r="EA3" s="257"/>
      <c r="EB3" s="257"/>
      <c r="EC3" s="257"/>
      <c r="ED3" s="257"/>
      <c r="EE3" s="257"/>
      <c r="EF3" s="257"/>
      <c r="EG3" s="317"/>
      <c r="EH3" s="317"/>
      <c r="EI3" s="317"/>
      <c r="EJ3" s="317"/>
      <c r="EK3" s="317"/>
      <c r="EL3" s="317"/>
      <c r="EM3" s="317"/>
      <c r="EN3" s="317"/>
      <c r="EO3" s="317"/>
      <c r="EP3" s="317"/>
      <c r="EQ3" s="317"/>
      <c r="ER3" s="317"/>
      <c r="ES3" s="317"/>
      <c r="ET3" s="317"/>
      <c r="EU3" s="317"/>
      <c r="EV3" s="317"/>
      <c r="EW3" s="317"/>
      <c r="EX3" s="317"/>
      <c r="EY3" s="317"/>
      <c r="EZ3" s="317"/>
      <c r="FA3" s="317"/>
      <c r="FB3" s="317"/>
      <c r="FC3" s="317"/>
      <c r="FD3" s="317"/>
      <c r="FE3" s="317"/>
      <c r="FF3" s="317"/>
      <c r="FG3" s="317"/>
      <c r="FH3" s="317"/>
      <c r="FI3" s="317"/>
      <c r="FJ3" s="317"/>
      <c r="FK3" s="317"/>
      <c r="FL3" s="317"/>
      <c r="FM3" s="317"/>
      <c r="FN3" s="317"/>
      <c r="FO3" s="317"/>
      <c r="FP3" s="317"/>
      <c r="FQ3" s="317"/>
      <c r="FR3" s="317"/>
      <c r="FS3" s="317"/>
      <c r="FT3" s="317"/>
      <c r="FU3" s="317"/>
      <c r="FV3" s="317"/>
      <c r="FW3" s="317"/>
      <c r="FX3" s="317"/>
      <c r="FY3" s="317"/>
      <c r="FZ3" s="317"/>
      <c r="GA3" s="317"/>
      <c r="GB3" s="317"/>
      <c r="GC3" s="317"/>
      <c r="GD3" s="317"/>
      <c r="GE3" s="317"/>
      <c r="GF3" s="317"/>
      <c r="GG3" s="317"/>
      <c r="GH3" s="317"/>
      <c r="GI3" s="317"/>
      <c r="GJ3" s="317"/>
      <c r="GK3" s="317"/>
      <c r="GL3" s="317"/>
      <c r="GM3" s="317"/>
      <c r="GN3" s="317"/>
      <c r="GO3" s="317"/>
      <c r="GP3" s="317"/>
      <c r="GQ3" s="317"/>
      <c r="GR3" s="317"/>
      <c r="GS3" s="317"/>
      <c r="GT3" s="317"/>
      <c r="GU3" s="317"/>
      <c r="GV3" s="317"/>
      <c r="GW3" s="317"/>
      <c r="GX3" s="317"/>
      <c r="GY3" s="317"/>
      <c r="GZ3" s="317"/>
      <c r="HA3" s="317"/>
      <c r="HB3" s="317"/>
      <c r="HC3" s="317"/>
      <c r="HD3" s="317"/>
      <c r="HE3" s="317"/>
      <c r="HF3" s="317"/>
      <c r="HG3" s="317"/>
      <c r="HH3" s="317"/>
      <c r="HI3" s="317"/>
      <c r="HJ3" s="317"/>
      <c r="HK3" s="317"/>
      <c r="HL3" s="317"/>
      <c r="HM3" s="317"/>
      <c r="HN3" s="317"/>
      <c r="HO3" s="317"/>
      <c r="HP3" s="317"/>
      <c r="HQ3" s="317"/>
      <c r="HR3" s="317"/>
      <c r="HS3" s="317"/>
      <c r="HT3" s="317"/>
      <c r="HU3" s="317"/>
      <c r="HV3" s="317"/>
      <c r="HW3" s="317"/>
      <c r="HX3" s="317"/>
      <c r="HY3" s="317"/>
      <c r="HZ3" s="317"/>
      <c r="IA3" s="317"/>
      <c r="IB3" s="317"/>
      <c r="IC3" s="317"/>
      <c r="ID3" s="317"/>
      <c r="IE3" s="317"/>
      <c r="IF3" s="317"/>
      <c r="IG3" s="317"/>
      <c r="IH3" s="317"/>
      <c r="II3" s="317"/>
      <c r="IJ3" s="317"/>
      <c r="IK3" s="317"/>
      <c r="IL3" s="317"/>
      <c r="IM3" s="317"/>
      <c r="IN3" s="317"/>
      <c r="IO3" s="317"/>
      <c r="IP3" s="317"/>
      <c r="IQ3" s="317"/>
      <c r="IR3" s="317"/>
      <c r="IS3" s="317"/>
      <c r="IT3" s="317"/>
      <c r="IU3" s="317"/>
      <c r="IV3" s="317"/>
      <c r="IW3" s="317"/>
      <c r="IX3" s="317"/>
      <c r="IY3" s="317"/>
      <c r="IZ3" s="317"/>
      <c r="JA3" s="317"/>
      <c r="JB3" s="317"/>
      <c r="JC3" s="317"/>
      <c r="JD3" s="317"/>
      <c r="JE3" s="317"/>
      <c r="JF3" s="317"/>
      <c r="JG3" s="317"/>
      <c r="JH3" s="317"/>
      <c r="JI3" s="317"/>
      <c r="JJ3" s="317"/>
      <c r="JK3" s="317"/>
      <c r="JL3" s="317"/>
    </row>
    <row r="4" ht="15.6" spans="1:272">
      <c r="A4" s="257"/>
      <c r="B4" s="305" t="s">
        <v>164</v>
      </c>
      <c r="C4" s="306">
        <v>1</v>
      </c>
      <c r="D4" s="307">
        <v>513</v>
      </c>
      <c r="E4" s="308">
        <f ca="1">IF(D4&gt;C4,NOW()+数据表!S121,数据表!P94)</f>
        <v>45083.255806429</v>
      </c>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c r="CD4" s="257"/>
      <c r="CE4" s="257"/>
      <c r="CF4" s="257"/>
      <c r="CG4" s="257"/>
      <c r="CH4" s="257"/>
      <c r="CI4" s="257"/>
      <c r="CJ4" s="257"/>
      <c r="CK4" s="257"/>
      <c r="CL4" s="257"/>
      <c r="CM4" s="257"/>
      <c r="CN4" s="257"/>
      <c r="CO4" s="257"/>
      <c r="CP4" s="257"/>
      <c r="CQ4" s="257"/>
      <c r="CR4" s="257"/>
      <c r="CS4" s="257"/>
      <c r="CT4" s="257"/>
      <c r="CU4" s="257"/>
      <c r="CV4" s="257"/>
      <c r="CW4" s="257"/>
      <c r="CX4" s="257"/>
      <c r="CY4" s="257"/>
      <c r="CZ4" s="257"/>
      <c r="DA4" s="257"/>
      <c r="DB4" s="257"/>
      <c r="DC4" s="257"/>
      <c r="DD4" s="257"/>
      <c r="DE4" s="257"/>
      <c r="DF4" s="257"/>
      <c r="DG4" s="257"/>
      <c r="DH4" s="257"/>
      <c r="DI4" s="257"/>
      <c r="DJ4" s="257"/>
      <c r="DK4" s="257"/>
      <c r="DL4" s="257"/>
      <c r="DM4" s="257"/>
      <c r="DN4" s="257"/>
      <c r="DO4" s="257"/>
      <c r="DP4" s="257"/>
      <c r="DQ4" s="257"/>
      <c r="DR4" s="257"/>
      <c r="DS4" s="257"/>
      <c r="DT4" s="257"/>
      <c r="DU4" s="257"/>
      <c r="DV4" s="257"/>
      <c r="DW4" s="257"/>
      <c r="DX4" s="257"/>
      <c r="DY4" s="257"/>
      <c r="DZ4" s="257"/>
      <c r="EA4" s="257"/>
      <c r="EB4" s="257"/>
      <c r="EC4" s="257"/>
      <c r="ED4" s="257"/>
      <c r="EE4" s="257"/>
      <c r="EF4" s="257"/>
      <c r="EG4" s="317"/>
      <c r="EH4" s="317"/>
      <c r="EI4" s="317"/>
      <c r="EJ4" s="317"/>
      <c r="EK4" s="317"/>
      <c r="EL4" s="317"/>
      <c r="EM4" s="317"/>
      <c r="EN4" s="317"/>
      <c r="EO4" s="317"/>
      <c r="EP4" s="317"/>
      <c r="EQ4" s="317"/>
      <c r="ER4" s="317"/>
      <c r="ES4" s="317"/>
      <c r="ET4" s="317"/>
      <c r="EU4" s="317"/>
      <c r="EV4" s="317"/>
      <c r="EW4" s="317"/>
      <c r="EX4" s="317"/>
      <c r="EY4" s="317"/>
      <c r="EZ4" s="317"/>
      <c r="FA4" s="317"/>
      <c r="FB4" s="317"/>
      <c r="FC4" s="317"/>
      <c r="FD4" s="317"/>
      <c r="FE4" s="317"/>
      <c r="FF4" s="317"/>
      <c r="FG4" s="317"/>
      <c r="FH4" s="317"/>
      <c r="FI4" s="317"/>
      <c r="FJ4" s="317"/>
      <c r="FK4" s="317"/>
      <c r="FL4" s="317"/>
      <c r="FM4" s="317"/>
      <c r="FN4" s="317"/>
      <c r="FO4" s="317"/>
      <c r="FP4" s="317"/>
      <c r="FQ4" s="317"/>
      <c r="FR4" s="317"/>
      <c r="FS4" s="317"/>
      <c r="FT4" s="317"/>
      <c r="FU4" s="317"/>
      <c r="FV4" s="317"/>
      <c r="FW4" s="317"/>
      <c r="FX4" s="317"/>
      <c r="FY4" s="317"/>
      <c r="FZ4" s="317"/>
      <c r="GA4" s="317"/>
      <c r="GB4" s="317"/>
      <c r="GC4" s="317"/>
      <c r="GD4" s="317"/>
      <c r="GE4" s="317"/>
      <c r="GF4" s="317"/>
      <c r="GG4" s="317"/>
      <c r="GH4" s="317"/>
      <c r="GI4" s="317"/>
      <c r="GJ4" s="317"/>
      <c r="GK4" s="317"/>
      <c r="GL4" s="317"/>
      <c r="GM4" s="317"/>
      <c r="GN4" s="317"/>
      <c r="GO4" s="317"/>
      <c r="GP4" s="317"/>
      <c r="GQ4" s="317"/>
      <c r="GR4" s="317"/>
      <c r="GS4" s="317"/>
      <c r="GT4" s="317"/>
      <c r="GU4" s="317"/>
      <c r="GV4" s="317"/>
      <c r="GW4" s="317"/>
      <c r="GX4" s="317"/>
      <c r="GY4" s="317"/>
      <c r="GZ4" s="317"/>
      <c r="HA4" s="317"/>
      <c r="HB4" s="317"/>
      <c r="HC4" s="317"/>
      <c r="HD4" s="317"/>
      <c r="HE4" s="317"/>
      <c r="HF4" s="317"/>
      <c r="HG4" s="317"/>
      <c r="HH4" s="317"/>
      <c r="HI4" s="317"/>
      <c r="HJ4" s="317"/>
      <c r="HK4" s="317"/>
      <c r="HL4" s="317"/>
      <c r="HM4" s="317"/>
      <c r="HN4" s="317"/>
      <c r="HO4" s="317"/>
      <c r="HP4" s="317"/>
      <c r="HQ4" s="317"/>
      <c r="HR4" s="317"/>
      <c r="HS4" s="317"/>
      <c r="HT4" s="317"/>
      <c r="HU4" s="317"/>
      <c r="HV4" s="317"/>
      <c r="HW4" s="317"/>
      <c r="HX4" s="317"/>
      <c r="HY4" s="317"/>
      <c r="HZ4" s="317"/>
      <c r="IA4" s="317"/>
      <c r="IB4" s="317"/>
      <c r="IC4" s="317"/>
      <c r="ID4" s="317"/>
      <c r="IE4" s="317"/>
      <c r="IF4" s="317"/>
      <c r="IG4" s="317"/>
      <c r="IH4" s="317"/>
      <c r="II4" s="317"/>
      <c r="IJ4" s="317"/>
      <c r="IK4" s="317"/>
      <c r="IL4" s="317"/>
      <c r="IM4" s="317"/>
      <c r="IN4" s="317"/>
      <c r="IO4" s="317"/>
      <c r="IP4" s="317"/>
      <c r="IQ4" s="317"/>
      <c r="IR4" s="317"/>
      <c r="IS4" s="317"/>
      <c r="IT4" s="317"/>
      <c r="IU4" s="317"/>
      <c r="IV4" s="317"/>
      <c r="IW4" s="317"/>
      <c r="IX4" s="317"/>
      <c r="IY4" s="317"/>
      <c r="IZ4" s="317"/>
      <c r="JA4" s="317"/>
      <c r="JB4" s="317"/>
      <c r="JC4" s="317"/>
      <c r="JD4" s="317"/>
      <c r="JE4" s="317"/>
      <c r="JF4" s="317"/>
      <c r="JG4" s="317"/>
      <c r="JH4" s="317"/>
      <c r="JI4" s="317"/>
      <c r="JJ4" s="317"/>
      <c r="JK4" s="317"/>
      <c r="JL4" s="317"/>
    </row>
    <row r="5" ht="15.6" spans="1:272">
      <c r="A5" s="257"/>
      <c r="B5" s="305" t="s">
        <v>165</v>
      </c>
      <c r="C5" s="306">
        <v>300</v>
      </c>
      <c r="D5" s="307">
        <v>343</v>
      </c>
      <c r="E5" s="308">
        <f ca="1">IF(数据表!R108=0,数据表!P94,NOW()+数据表!R108)</f>
        <v>44726.3535224195</v>
      </c>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317"/>
      <c r="EH5" s="317"/>
      <c r="EI5" s="317"/>
      <c r="EJ5" s="317"/>
      <c r="EK5" s="317"/>
      <c r="EL5" s="317"/>
      <c r="EM5" s="317"/>
      <c r="EN5" s="317"/>
      <c r="EO5" s="317"/>
      <c r="EP5" s="317"/>
      <c r="EQ5" s="317"/>
      <c r="ER5" s="317"/>
      <c r="ES5" s="317"/>
      <c r="ET5" s="317"/>
      <c r="EU5" s="317"/>
      <c r="EV5" s="317"/>
      <c r="EW5" s="317"/>
      <c r="EX5" s="317"/>
      <c r="EY5" s="317"/>
      <c r="EZ5" s="317"/>
      <c r="FA5" s="317"/>
      <c r="FB5" s="317"/>
      <c r="FC5" s="317"/>
      <c r="FD5" s="317"/>
      <c r="FE5" s="317"/>
      <c r="FF5" s="317"/>
      <c r="FG5" s="317"/>
      <c r="FH5" s="317"/>
      <c r="FI5" s="317"/>
      <c r="FJ5" s="317"/>
      <c r="FK5" s="317"/>
      <c r="FL5" s="317"/>
      <c r="FM5" s="317"/>
      <c r="FN5" s="317"/>
      <c r="FO5" s="317"/>
      <c r="FP5" s="317"/>
      <c r="FQ5" s="317"/>
      <c r="FR5" s="317"/>
      <c r="FS5" s="317"/>
      <c r="FT5" s="317"/>
      <c r="FU5" s="317"/>
      <c r="FV5" s="317"/>
      <c r="FW5" s="317"/>
      <c r="FX5" s="317"/>
      <c r="FY5" s="317"/>
      <c r="FZ5" s="317"/>
      <c r="GA5" s="317"/>
      <c r="GB5" s="317"/>
      <c r="GC5" s="317"/>
      <c r="GD5" s="317"/>
      <c r="GE5" s="317"/>
      <c r="GF5" s="317"/>
      <c r="GG5" s="317"/>
      <c r="GH5" s="317"/>
      <c r="GI5" s="317"/>
      <c r="GJ5" s="317"/>
      <c r="GK5" s="317"/>
      <c r="GL5" s="317"/>
      <c r="GM5" s="317"/>
      <c r="GN5" s="317"/>
      <c r="GO5" s="317"/>
      <c r="GP5" s="317"/>
      <c r="GQ5" s="317"/>
      <c r="GR5" s="317"/>
      <c r="GS5" s="317"/>
      <c r="GT5" s="317"/>
      <c r="GU5" s="317"/>
      <c r="GV5" s="317"/>
      <c r="GW5" s="317"/>
      <c r="GX5" s="317"/>
      <c r="GY5" s="317"/>
      <c r="GZ5" s="317"/>
      <c r="HA5" s="317"/>
      <c r="HB5" s="317"/>
      <c r="HC5" s="317"/>
      <c r="HD5" s="317"/>
      <c r="HE5" s="317"/>
      <c r="HF5" s="317"/>
      <c r="HG5" s="317"/>
      <c r="HH5" s="317"/>
      <c r="HI5" s="317"/>
      <c r="HJ5" s="317"/>
      <c r="HK5" s="317"/>
      <c r="HL5" s="317"/>
      <c r="HM5" s="317"/>
      <c r="HN5" s="317"/>
      <c r="HO5" s="317"/>
      <c r="HP5" s="317"/>
      <c r="HQ5" s="317"/>
      <c r="HR5" s="317"/>
      <c r="HS5" s="317"/>
      <c r="HT5" s="317"/>
      <c r="HU5" s="317"/>
      <c r="HV5" s="317"/>
      <c r="HW5" s="317"/>
      <c r="HX5" s="317"/>
      <c r="HY5" s="317"/>
      <c r="HZ5" s="317"/>
      <c r="IA5" s="317"/>
      <c r="IB5" s="317"/>
      <c r="IC5" s="317"/>
      <c r="ID5" s="317"/>
      <c r="IE5" s="317"/>
      <c r="IF5" s="317"/>
      <c r="IG5" s="317"/>
      <c r="IH5" s="317"/>
      <c r="II5" s="317"/>
      <c r="IJ5" s="317"/>
      <c r="IK5" s="317"/>
      <c r="IL5" s="317"/>
      <c r="IM5" s="317"/>
      <c r="IN5" s="317"/>
      <c r="IO5" s="317"/>
      <c r="IP5" s="317"/>
      <c r="IQ5" s="317"/>
      <c r="IR5" s="317"/>
      <c r="IS5" s="317"/>
      <c r="IT5" s="317"/>
      <c r="IU5" s="317"/>
      <c r="IV5" s="317"/>
      <c r="IW5" s="317"/>
      <c r="IX5" s="317"/>
      <c r="IY5" s="317"/>
      <c r="IZ5" s="317"/>
      <c r="JA5" s="317"/>
      <c r="JB5" s="317"/>
      <c r="JC5" s="317"/>
      <c r="JD5" s="317"/>
      <c r="JE5" s="317"/>
      <c r="JF5" s="317"/>
      <c r="JG5" s="317"/>
      <c r="JH5" s="317"/>
      <c r="JI5" s="317"/>
      <c r="JJ5" s="317"/>
      <c r="JK5" s="317"/>
      <c r="JL5" s="317"/>
    </row>
    <row r="6" ht="15.6" spans="1:272">
      <c r="A6" s="257"/>
      <c r="B6" s="305" t="s">
        <v>166</v>
      </c>
      <c r="C6" s="306">
        <v>200</v>
      </c>
      <c r="D6" s="307">
        <v>343</v>
      </c>
      <c r="E6" s="308">
        <f ca="1">IF(数据表!R109=0,数据表!P94,NOW()+数据表!R109)</f>
        <v>44766.3448117649</v>
      </c>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7"/>
      <c r="DN6" s="257"/>
      <c r="DO6" s="257"/>
      <c r="DP6" s="257"/>
      <c r="DQ6" s="257"/>
      <c r="DR6" s="257"/>
      <c r="DS6" s="257"/>
      <c r="DT6" s="257"/>
      <c r="DU6" s="257"/>
      <c r="DV6" s="257"/>
      <c r="DW6" s="257"/>
      <c r="DX6" s="257"/>
      <c r="DY6" s="257"/>
      <c r="DZ6" s="257"/>
      <c r="EA6" s="257"/>
      <c r="EB6" s="257"/>
      <c r="EC6" s="257"/>
      <c r="ED6" s="257"/>
      <c r="EE6" s="257"/>
      <c r="EF6" s="257"/>
      <c r="EG6" s="317"/>
      <c r="EH6" s="317"/>
      <c r="EI6" s="317"/>
      <c r="EJ6" s="317"/>
      <c r="EK6" s="317"/>
      <c r="EL6" s="317"/>
      <c r="EM6" s="317"/>
      <c r="EN6" s="317"/>
      <c r="EO6" s="317"/>
      <c r="EP6" s="317"/>
      <c r="EQ6" s="317"/>
      <c r="ER6" s="317"/>
      <c r="ES6" s="317"/>
      <c r="ET6" s="317"/>
      <c r="EU6" s="317"/>
      <c r="EV6" s="317"/>
      <c r="EW6" s="317"/>
      <c r="EX6" s="317"/>
      <c r="EY6" s="317"/>
      <c r="EZ6" s="317"/>
      <c r="FA6" s="317"/>
      <c r="FB6" s="317"/>
      <c r="FC6" s="317"/>
      <c r="FD6" s="317"/>
      <c r="FE6" s="317"/>
      <c r="FF6" s="317"/>
      <c r="FG6" s="317"/>
      <c r="FH6" s="317"/>
      <c r="FI6" s="317"/>
      <c r="FJ6" s="317"/>
      <c r="FK6" s="317"/>
      <c r="FL6" s="317"/>
      <c r="FM6" s="317"/>
      <c r="FN6" s="317"/>
      <c r="FO6" s="317"/>
      <c r="FP6" s="317"/>
      <c r="FQ6" s="317"/>
      <c r="FR6" s="317"/>
      <c r="FS6" s="317"/>
      <c r="FT6" s="317"/>
      <c r="FU6" s="317"/>
      <c r="FV6" s="317"/>
      <c r="FW6" s="317"/>
      <c r="FX6" s="317"/>
      <c r="FY6" s="317"/>
      <c r="FZ6" s="317"/>
      <c r="GA6" s="317"/>
      <c r="GB6" s="317"/>
      <c r="GC6" s="317"/>
      <c r="GD6" s="317"/>
      <c r="GE6" s="317"/>
      <c r="GF6" s="317"/>
      <c r="GG6" s="317"/>
      <c r="GH6" s="317"/>
      <c r="GI6" s="317"/>
      <c r="GJ6" s="317"/>
      <c r="GK6" s="317"/>
      <c r="GL6" s="317"/>
      <c r="GM6" s="317"/>
      <c r="GN6" s="317"/>
      <c r="GO6" s="317"/>
      <c r="GP6" s="317"/>
      <c r="GQ6" s="317"/>
      <c r="GR6" s="317"/>
      <c r="GS6" s="317"/>
      <c r="GT6" s="317"/>
      <c r="GU6" s="317"/>
      <c r="GV6" s="317"/>
      <c r="GW6" s="317"/>
      <c r="GX6" s="317"/>
      <c r="GY6" s="317"/>
      <c r="GZ6" s="317"/>
      <c r="HA6" s="317"/>
      <c r="HB6" s="317"/>
      <c r="HC6" s="317"/>
      <c r="HD6" s="317"/>
      <c r="HE6" s="317"/>
      <c r="HF6" s="317"/>
      <c r="HG6" s="317"/>
      <c r="HH6" s="317"/>
      <c r="HI6" s="317"/>
      <c r="HJ6" s="317"/>
      <c r="HK6" s="317"/>
      <c r="HL6" s="317"/>
      <c r="HM6" s="317"/>
      <c r="HN6" s="317"/>
      <c r="HO6" s="317"/>
      <c r="HP6" s="317"/>
      <c r="HQ6" s="317"/>
      <c r="HR6" s="317"/>
      <c r="HS6" s="317"/>
      <c r="HT6" s="317"/>
      <c r="HU6" s="317"/>
      <c r="HV6" s="317"/>
      <c r="HW6" s="317"/>
      <c r="HX6" s="317"/>
      <c r="HY6" s="317"/>
      <c r="HZ6" s="317"/>
      <c r="IA6" s="317"/>
      <c r="IB6" s="317"/>
      <c r="IC6" s="317"/>
      <c r="ID6" s="317"/>
      <c r="IE6" s="317"/>
      <c r="IF6" s="317"/>
      <c r="IG6" s="317"/>
      <c r="IH6" s="317"/>
      <c r="II6" s="317"/>
      <c r="IJ6" s="317"/>
      <c r="IK6" s="317"/>
      <c r="IL6" s="317"/>
      <c r="IM6" s="317"/>
      <c r="IN6" s="317"/>
      <c r="IO6" s="317"/>
      <c r="IP6" s="317"/>
      <c r="IQ6" s="317"/>
      <c r="IR6" s="317"/>
      <c r="IS6" s="317"/>
      <c r="IT6" s="317"/>
      <c r="IU6" s="317"/>
      <c r="IV6" s="317"/>
      <c r="IW6" s="317"/>
      <c r="IX6" s="317"/>
      <c r="IY6" s="317"/>
      <c r="IZ6" s="317"/>
      <c r="JA6" s="317"/>
      <c r="JB6" s="317"/>
      <c r="JC6" s="317"/>
      <c r="JD6" s="317"/>
      <c r="JE6" s="317"/>
      <c r="JF6" s="317"/>
      <c r="JG6" s="317"/>
      <c r="JH6" s="317"/>
      <c r="JI6" s="317"/>
      <c r="JJ6" s="317"/>
      <c r="JK6" s="317"/>
      <c r="JL6" s="317"/>
    </row>
    <row r="7" ht="15.6" spans="1:272">
      <c r="A7" s="257"/>
      <c r="B7" s="305" t="s">
        <v>167</v>
      </c>
      <c r="C7" s="306">
        <v>100</v>
      </c>
      <c r="D7" s="307">
        <v>343</v>
      </c>
      <c r="E7" s="308">
        <f ca="1">IF(数据表!R110=0,数据表!P94,NOW()+数据表!R110)</f>
        <v>44792.5141648719</v>
      </c>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c r="BQ7" s="257"/>
      <c r="BR7" s="257"/>
      <c r="BS7" s="257"/>
      <c r="BT7" s="257"/>
      <c r="BU7" s="257"/>
      <c r="BV7" s="257"/>
      <c r="BW7" s="257"/>
      <c r="BX7" s="257"/>
      <c r="BY7" s="257"/>
      <c r="BZ7" s="257"/>
      <c r="CA7" s="257"/>
      <c r="CB7" s="257"/>
      <c r="CC7" s="257"/>
      <c r="CD7" s="257"/>
      <c r="CE7" s="257"/>
      <c r="CF7" s="257"/>
      <c r="CG7" s="257"/>
      <c r="CH7" s="257"/>
      <c r="CI7" s="257"/>
      <c r="CJ7" s="257"/>
      <c r="CK7" s="257"/>
      <c r="CL7" s="257"/>
      <c r="CM7" s="257"/>
      <c r="CN7" s="257"/>
      <c r="CO7" s="257"/>
      <c r="CP7" s="257"/>
      <c r="CQ7" s="257"/>
      <c r="CR7" s="257"/>
      <c r="CS7" s="257"/>
      <c r="CT7" s="257"/>
      <c r="CU7" s="257"/>
      <c r="CV7" s="257"/>
      <c r="CW7" s="257"/>
      <c r="CX7" s="257"/>
      <c r="CY7" s="257"/>
      <c r="CZ7" s="257"/>
      <c r="DA7" s="257"/>
      <c r="DB7" s="257"/>
      <c r="DC7" s="257"/>
      <c r="DD7" s="257"/>
      <c r="DE7" s="257"/>
      <c r="DF7" s="257"/>
      <c r="DG7" s="257"/>
      <c r="DH7" s="257"/>
      <c r="DI7" s="257"/>
      <c r="DJ7" s="257"/>
      <c r="DK7" s="257"/>
      <c r="DL7" s="257"/>
      <c r="DM7" s="257"/>
      <c r="DN7" s="257"/>
      <c r="DO7" s="257"/>
      <c r="DP7" s="257"/>
      <c r="DQ7" s="257"/>
      <c r="DR7" s="257"/>
      <c r="DS7" s="257"/>
      <c r="DT7" s="257"/>
      <c r="DU7" s="257"/>
      <c r="DV7" s="257"/>
      <c r="DW7" s="257"/>
      <c r="DX7" s="257"/>
      <c r="DY7" s="257"/>
      <c r="DZ7" s="257"/>
      <c r="EA7" s="257"/>
      <c r="EB7" s="257"/>
      <c r="EC7" s="257"/>
      <c r="ED7" s="257"/>
      <c r="EE7" s="257"/>
      <c r="EF7" s="257"/>
      <c r="EG7" s="317"/>
      <c r="EH7" s="317"/>
      <c r="EI7" s="317"/>
      <c r="EJ7" s="317"/>
      <c r="EK7" s="317"/>
      <c r="EL7" s="317"/>
      <c r="EM7" s="317"/>
      <c r="EN7" s="317"/>
      <c r="EO7" s="317"/>
      <c r="EP7" s="317"/>
      <c r="EQ7" s="317"/>
      <c r="ER7" s="317"/>
      <c r="ES7" s="317"/>
      <c r="ET7" s="317"/>
      <c r="EU7" s="317"/>
      <c r="EV7" s="317"/>
      <c r="EW7" s="317"/>
      <c r="EX7" s="317"/>
      <c r="EY7" s="317"/>
      <c r="EZ7" s="317"/>
      <c r="FA7" s="317"/>
      <c r="FB7" s="317"/>
      <c r="FC7" s="317"/>
      <c r="FD7" s="317"/>
      <c r="FE7" s="317"/>
      <c r="FF7" s="317"/>
      <c r="FG7" s="317"/>
      <c r="FH7" s="317"/>
      <c r="FI7" s="317"/>
      <c r="FJ7" s="317"/>
      <c r="FK7" s="317"/>
      <c r="FL7" s="317"/>
      <c r="FM7" s="317"/>
      <c r="FN7" s="317"/>
      <c r="FO7" s="317"/>
      <c r="FP7" s="317"/>
      <c r="FQ7" s="317"/>
      <c r="FR7" s="317"/>
      <c r="FS7" s="317"/>
      <c r="FT7" s="317"/>
      <c r="FU7" s="317"/>
      <c r="FV7" s="317"/>
      <c r="FW7" s="317"/>
      <c r="FX7" s="317"/>
      <c r="FY7" s="317"/>
      <c r="FZ7" s="317"/>
      <c r="GA7" s="317"/>
      <c r="GB7" s="317"/>
      <c r="GC7" s="317"/>
      <c r="GD7" s="317"/>
      <c r="GE7" s="317"/>
      <c r="GF7" s="317"/>
      <c r="GG7" s="317"/>
      <c r="GH7" s="317"/>
      <c r="GI7" s="317"/>
      <c r="GJ7" s="317"/>
      <c r="GK7" s="317"/>
      <c r="GL7" s="317"/>
      <c r="GM7" s="317"/>
      <c r="GN7" s="317"/>
      <c r="GO7" s="317"/>
      <c r="GP7" s="317"/>
      <c r="GQ7" s="317"/>
      <c r="GR7" s="317"/>
      <c r="GS7" s="317"/>
      <c r="GT7" s="317"/>
      <c r="GU7" s="317"/>
      <c r="GV7" s="317"/>
      <c r="GW7" s="317"/>
      <c r="GX7" s="317"/>
      <c r="GY7" s="317"/>
      <c r="GZ7" s="317"/>
      <c r="HA7" s="317"/>
      <c r="HB7" s="317"/>
      <c r="HC7" s="317"/>
      <c r="HD7" s="317"/>
      <c r="HE7" s="317"/>
      <c r="HF7" s="317"/>
      <c r="HG7" s="317"/>
      <c r="HH7" s="317"/>
      <c r="HI7" s="317"/>
      <c r="HJ7" s="317"/>
      <c r="HK7" s="317"/>
      <c r="HL7" s="317"/>
      <c r="HM7" s="317"/>
      <c r="HN7" s="317"/>
      <c r="HO7" s="317"/>
      <c r="HP7" s="317"/>
      <c r="HQ7" s="317"/>
      <c r="HR7" s="317"/>
      <c r="HS7" s="317"/>
      <c r="HT7" s="317"/>
      <c r="HU7" s="317"/>
      <c r="HV7" s="317"/>
      <c r="HW7" s="317"/>
      <c r="HX7" s="317"/>
      <c r="HY7" s="317"/>
      <c r="HZ7" s="317"/>
      <c r="IA7" s="317"/>
      <c r="IB7" s="317"/>
      <c r="IC7" s="317"/>
      <c r="ID7" s="317"/>
      <c r="IE7" s="317"/>
      <c r="IF7" s="317"/>
      <c r="IG7" s="317"/>
      <c r="IH7" s="317"/>
      <c r="II7" s="317"/>
      <c r="IJ7" s="317"/>
      <c r="IK7" s="317"/>
      <c r="IL7" s="317"/>
      <c r="IM7" s="317"/>
      <c r="IN7" s="317"/>
      <c r="IO7" s="317"/>
      <c r="IP7" s="317"/>
      <c r="IQ7" s="317"/>
      <c r="IR7" s="317"/>
      <c r="IS7" s="317"/>
      <c r="IT7" s="317"/>
      <c r="IU7" s="317"/>
      <c r="IV7" s="317"/>
      <c r="IW7" s="317"/>
      <c r="IX7" s="317"/>
      <c r="IY7" s="317"/>
      <c r="IZ7" s="317"/>
      <c r="JA7" s="317"/>
      <c r="JB7" s="317"/>
      <c r="JC7" s="317"/>
      <c r="JD7" s="317"/>
      <c r="JE7" s="317"/>
      <c r="JF7" s="317"/>
      <c r="JG7" s="317"/>
      <c r="JH7" s="317"/>
      <c r="JI7" s="317"/>
      <c r="JJ7" s="317"/>
      <c r="JK7" s="317"/>
      <c r="JL7" s="317"/>
    </row>
    <row r="8" ht="16.35" spans="1:272">
      <c r="A8" s="257"/>
      <c r="B8" s="309" t="s">
        <v>168</v>
      </c>
      <c r="C8" s="310">
        <v>138</v>
      </c>
      <c r="D8" s="311">
        <v>150</v>
      </c>
      <c r="E8" s="312">
        <f ca="1">IF(D8&gt;C8,NOW()+(D8-C8)/'倾向-优先级表'!H29,数据表!P94)</f>
        <v>44722.4560937354</v>
      </c>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317"/>
      <c r="EH8" s="317"/>
      <c r="EI8" s="317"/>
      <c r="EJ8" s="317"/>
      <c r="EK8" s="317"/>
      <c r="EL8" s="317"/>
      <c r="EM8" s="317"/>
      <c r="EN8" s="317"/>
      <c r="EO8" s="317"/>
      <c r="EP8" s="317"/>
      <c r="EQ8" s="317"/>
      <c r="ER8" s="317"/>
      <c r="ES8" s="317"/>
      <c r="ET8" s="317"/>
      <c r="EU8" s="317"/>
      <c r="EV8" s="317"/>
      <c r="EW8" s="317"/>
      <c r="EX8" s="317"/>
      <c r="EY8" s="317"/>
      <c r="EZ8" s="317"/>
      <c r="FA8" s="317"/>
      <c r="FB8" s="317"/>
      <c r="FC8" s="317"/>
      <c r="FD8" s="317"/>
      <c r="FE8" s="317"/>
      <c r="FF8" s="317"/>
      <c r="FG8" s="317"/>
      <c r="FH8" s="317"/>
      <c r="FI8" s="317"/>
      <c r="FJ8" s="317"/>
      <c r="FK8" s="317"/>
      <c r="FL8" s="317"/>
      <c r="FM8" s="317"/>
      <c r="FN8" s="317"/>
      <c r="FO8" s="317"/>
      <c r="FP8" s="317"/>
      <c r="FQ8" s="317"/>
      <c r="FR8" s="317"/>
      <c r="FS8" s="317"/>
      <c r="FT8" s="317"/>
      <c r="FU8" s="317"/>
      <c r="FV8" s="317"/>
      <c r="FW8" s="317"/>
      <c r="FX8" s="317"/>
      <c r="FY8" s="317"/>
      <c r="FZ8" s="317"/>
      <c r="GA8" s="317"/>
      <c r="GB8" s="317"/>
      <c r="GC8" s="317"/>
      <c r="GD8" s="317"/>
      <c r="GE8" s="317"/>
      <c r="GF8" s="317"/>
      <c r="GG8" s="317"/>
      <c r="GH8" s="317"/>
      <c r="GI8" s="317"/>
      <c r="GJ8" s="317"/>
      <c r="GK8" s="317"/>
      <c r="GL8" s="317"/>
      <c r="GM8" s="317"/>
      <c r="GN8" s="317"/>
      <c r="GO8" s="317"/>
      <c r="GP8" s="317"/>
      <c r="GQ8" s="317"/>
      <c r="GR8" s="317"/>
      <c r="GS8" s="317"/>
      <c r="GT8" s="317"/>
      <c r="GU8" s="317"/>
      <c r="GV8" s="317"/>
      <c r="GW8" s="317"/>
      <c r="GX8" s="317"/>
      <c r="GY8" s="317"/>
      <c r="GZ8" s="317"/>
      <c r="HA8" s="317"/>
      <c r="HB8" s="317"/>
      <c r="HC8" s="317"/>
      <c r="HD8" s="317"/>
      <c r="HE8" s="317"/>
      <c r="HF8" s="317"/>
      <c r="HG8" s="317"/>
      <c r="HH8" s="317"/>
      <c r="HI8" s="317"/>
      <c r="HJ8" s="317"/>
      <c r="HK8" s="317"/>
      <c r="HL8" s="317"/>
      <c r="HM8" s="317"/>
      <c r="HN8" s="317"/>
      <c r="HO8" s="317"/>
      <c r="HP8" s="317"/>
      <c r="HQ8" s="317"/>
      <c r="HR8" s="317"/>
      <c r="HS8" s="317"/>
      <c r="HT8" s="317"/>
      <c r="HU8" s="317"/>
      <c r="HV8" s="317"/>
      <c r="HW8" s="317"/>
      <c r="HX8" s="317"/>
      <c r="HY8" s="317"/>
      <c r="HZ8" s="317"/>
      <c r="IA8" s="317"/>
      <c r="IB8" s="317"/>
      <c r="IC8" s="317"/>
      <c r="ID8" s="317"/>
      <c r="IE8" s="317"/>
      <c r="IF8" s="317"/>
      <c r="IG8" s="317"/>
      <c r="IH8" s="317"/>
      <c r="II8" s="317"/>
      <c r="IJ8" s="317"/>
      <c r="IK8" s="317"/>
      <c r="IL8" s="317"/>
      <c r="IM8" s="317"/>
      <c r="IN8" s="317"/>
      <c r="IO8" s="317"/>
      <c r="IP8" s="317"/>
      <c r="IQ8" s="317"/>
      <c r="IR8" s="317"/>
      <c r="IS8" s="317"/>
      <c r="IT8" s="317"/>
      <c r="IU8" s="317"/>
      <c r="IV8" s="317"/>
      <c r="IW8" s="317"/>
      <c r="IX8" s="317"/>
      <c r="IY8" s="317"/>
      <c r="IZ8" s="317"/>
      <c r="JA8" s="317"/>
      <c r="JB8" s="317"/>
      <c r="JC8" s="317"/>
      <c r="JD8" s="317"/>
      <c r="JE8" s="317"/>
      <c r="JF8" s="317"/>
      <c r="JG8" s="317"/>
      <c r="JH8" s="317"/>
      <c r="JI8" s="317"/>
      <c r="JJ8" s="317"/>
      <c r="JK8" s="317"/>
      <c r="JL8" s="317"/>
    </row>
    <row r="9" ht="16.35" spans="1:272">
      <c r="A9" s="257"/>
      <c r="B9" s="313" t="s">
        <v>169</v>
      </c>
      <c r="C9" s="314"/>
      <c r="D9" s="314"/>
      <c r="E9" s="315">
        <v>44750.5833333333</v>
      </c>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317"/>
      <c r="EH9" s="317"/>
      <c r="EI9" s="317"/>
      <c r="EJ9" s="317"/>
      <c r="EK9" s="317"/>
      <c r="EL9" s="317"/>
      <c r="EM9" s="317"/>
      <c r="EN9" s="317"/>
      <c r="EO9" s="317"/>
      <c r="EP9" s="317"/>
      <c r="EQ9" s="317"/>
      <c r="ER9" s="317"/>
      <c r="ES9" s="317"/>
      <c r="ET9" s="317"/>
      <c r="EU9" s="317"/>
      <c r="EV9" s="317"/>
      <c r="EW9" s="317"/>
      <c r="EX9" s="317"/>
      <c r="EY9" s="317"/>
      <c r="EZ9" s="317"/>
      <c r="FA9" s="317"/>
      <c r="FB9" s="317"/>
      <c r="FC9" s="317"/>
      <c r="FD9" s="317"/>
      <c r="FE9" s="317"/>
      <c r="FF9" s="317"/>
      <c r="FG9" s="317"/>
      <c r="FH9" s="317"/>
      <c r="FI9" s="317"/>
      <c r="FJ9" s="317"/>
      <c r="FK9" s="317"/>
      <c r="FL9" s="317"/>
      <c r="FM9" s="317"/>
      <c r="FN9" s="317"/>
      <c r="FO9" s="317"/>
      <c r="FP9" s="317"/>
      <c r="FQ9" s="317"/>
      <c r="FR9" s="317"/>
      <c r="FS9" s="317"/>
      <c r="FT9" s="317"/>
      <c r="FU9" s="317"/>
      <c r="FV9" s="317"/>
      <c r="FW9" s="317"/>
      <c r="FX9" s="317"/>
      <c r="FY9" s="317"/>
      <c r="FZ9" s="317"/>
      <c r="GA9" s="317"/>
      <c r="GB9" s="317"/>
      <c r="GC9" s="317"/>
      <c r="GD9" s="317"/>
      <c r="GE9" s="317"/>
      <c r="GF9" s="317"/>
      <c r="GG9" s="317"/>
      <c r="GH9" s="317"/>
      <c r="GI9" s="317"/>
      <c r="GJ9" s="317"/>
      <c r="GK9" s="317"/>
      <c r="GL9" s="317"/>
      <c r="GM9" s="317"/>
      <c r="GN9" s="317"/>
      <c r="GO9" s="317"/>
      <c r="GP9" s="317"/>
      <c r="GQ9" s="317"/>
      <c r="GR9" s="317"/>
      <c r="GS9" s="317"/>
      <c r="GT9" s="317"/>
      <c r="GU9" s="317"/>
      <c r="GV9" s="317"/>
      <c r="GW9" s="317"/>
      <c r="GX9" s="317"/>
      <c r="GY9" s="317"/>
      <c r="GZ9" s="317"/>
      <c r="HA9" s="317"/>
      <c r="HB9" s="317"/>
      <c r="HC9" s="317"/>
      <c r="HD9" s="317"/>
      <c r="HE9" s="317"/>
      <c r="HF9" s="317"/>
      <c r="HG9" s="317"/>
      <c r="HH9" s="317"/>
      <c r="HI9" s="317"/>
      <c r="HJ9" s="317"/>
      <c r="HK9" s="317"/>
      <c r="HL9" s="317"/>
      <c r="HM9" s="317"/>
      <c r="HN9" s="317"/>
      <c r="HO9" s="317"/>
      <c r="HP9" s="317"/>
      <c r="HQ9" s="317"/>
      <c r="HR9" s="317"/>
      <c r="HS9" s="317"/>
      <c r="HT9" s="317"/>
      <c r="HU9" s="317"/>
      <c r="HV9" s="317"/>
      <c r="HW9" s="317"/>
      <c r="HX9" s="317"/>
      <c r="HY9" s="317"/>
      <c r="HZ9" s="317"/>
      <c r="IA9" s="317"/>
      <c r="IB9" s="317"/>
      <c r="IC9" s="317"/>
      <c r="ID9" s="317"/>
      <c r="IE9" s="317"/>
      <c r="IF9" s="317"/>
      <c r="IG9" s="317"/>
      <c r="IH9" s="317"/>
      <c r="II9" s="317"/>
      <c r="IJ9" s="317"/>
      <c r="IK9" s="317"/>
      <c r="IL9" s="317"/>
      <c r="IM9" s="317"/>
      <c r="IN9" s="317"/>
      <c r="IO9" s="317"/>
      <c r="IP9" s="317"/>
      <c r="IQ9" s="317"/>
      <c r="IR9" s="317"/>
      <c r="IS9" s="317"/>
      <c r="IT9" s="317"/>
      <c r="IU9" s="317"/>
      <c r="IV9" s="317"/>
      <c r="IW9" s="317"/>
      <c r="IX9" s="317"/>
      <c r="IY9" s="317"/>
      <c r="IZ9" s="317"/>
      <c r="JA9" s="317"/>
      <c r="JB9" s="317"/>
      <c r="JC9" s="317"/>
      <c r="JD9" s="317"/>
      <c r="JE9" s="317"/>
      <c r="JF9" s="317"/>
      <c r="JG9" s="317"/>
      <c r="JH9" s="317"/>
      <c r="JI9" s="317"/>
      <c r="JJ9" s="317"/>
      <c r="JK9" s="317"/>
      <c r="JL9" s="317"/>
    </row>
    <row r="10" spans="1:272">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c r="CW10" s="257"/>
      <c r="CX10" s="257"/>
      <c r="CY10" s="257"/>
      <c r="CZ10" s="257"/>
      <c r="DA10" s="257"/>
      <c r="DB10" s="257"/>
      <c r="DC10" s="257"/>
      <c r="DD10" s="257"/>
      <c r="DE10" s="257"/>
      <c r="DF10" s="257"/>
      <c r="DG10" s="257"/>
      <c r="DH10" s="257"/>
      <c r="DI10" s="257"/>
      <c r="DJ10" s="257"/>
      <c r="DK10" s="257"/>
      <c r="DL10" s="257"/>
      <c r="DM10" s="257"/>
      <c r="DN10" s="257"/>
      <c r="DO10" s="257"/>
      <c r="DP10" s="257"/>
      <c r="DQ10" s="257"/>
      <c r="DR10" s="257"/>
      <c r="DS10" s="257"/>
      <c r="DT10" s="257"/>
      <c r="DU10" s="257"/>
      <c r="DV10" s="257"/>
      <c r="DW10" s="257"/>
      <c r="DX10" s="257"/>
      <c r="DY10" s="257"/>
      <c r="DZ10" s="257"/>
      <c r="EA10" s="257"/>
      <c r="EB10" s="257"/>
      <c r="EC10" s="257"/>
      <c r="ED10" s="257"/>
      <c r="EE10" s="257"/>
      <c r="EF10" s="257"/>
      <c r="EG10" s="317"/>
      <c r="EH10" s="317"/>
      <c r="EI10" s="317"/>
      <c r="EJ10" s="317"/>
      <c r="EK10" s="317"/>
      <c r="EL10" s="317"/>
      <c r="EM10" s="317"/>
      <c r="EN10" s="317"/>
      <c r="EO10" s="317"/>
      <c r="EP10" s="317"/>
      <c r="EQ10" s="317"/>
      <c r="ER10" s="317"/>
      <c r="ES10" s="317"/>
      <c r="ET10" s="317"/>
      <c r="EU10" s="317"/>
      <c r="EV10" s="317"/>
      <c r="EW10" s="317"/>
      <c r="EX10" s="317"/>
      <c r="EY10" s="317"/>
      <c r="EZ10" s="317"/>
      <c r="FA10" s="317"/>
      <c r="FB10" s="317"/>
      <c r="FC10" s="317"/>
      <c r="FD10" s="317"/>
      <c r="FE10" s="317"/>
      <c r="FF10" s="317"/>
      <c r="FG10" s="317"/>
      <c r="FH10" s="317"/>
      <c r="FI10" s="317"/>
      <c r="FJ10" s="317"/>
      <c r="FK10" s="317"/>
      <c r="FL10" s="317"/>
      <c r="FM10" s="317"/>
      <c r="FN10" s="317"/>
      <c r="FO10" s="317"/>
      <c r="FP10" s="317"/>
      <c r="FQ10" s="317"/>
      <c r="FR10" s="317"/>
      <c r="FS10" s="317"/>
      <c r="FT10" s="317"/>
      <c r="FU10" s="317"/>
      <c r="FV10" s="317"/>
      <c r="FW10" s="317"/>
      <c r="FX10" s="317"/>
      <c r="FY10" s="317"/>
      <c r="FZ10" s="317"/>
      <c r="GA10" s="317"/>
      <c r="GB10" s="317"/>
      <c r="GC10" s="317"/>
      <c r="GD10" s="317"/>
      <c r="GE10" s="317"/>
      <c r="GF10" s="317"/>
      <c r="GG10" s="317"/>
      <c r="GH10" s="317"/>
      <c r="GI10" s="317"/>
      <c r="GJ10" s="317"/>
      <c r="GK10" s="317"/>
      <c r="GL10" s="317"/>
      <c r="GM10" s="317"/>
      <c r="GN10" s="317"/>
      <c r="GO10" s="317"/>
      <c r="GP10" s="317"/>
      <c r="GQ10" s="317"/>
      <c r="GR10" s="317"/>
      <c r="GS10" s="317"/>
      <c r="GT10" s="317"/>
      <c r="GU10" s="317"/>
      <c r="GV10" s="317"/>
      <c r="GW10" s="317"/>
      <c r="GX10" s="317"/>
      <c r="GY10" s="317"/>
      <c r="GZ10" s="317"/>
      <c r="HA10" s="317"/>
      <c r="HB10" s="317"/>
      <c r="HC10" s="317"/>
      <c r="HD10" s="317"/>
      <c r="HE10" s="317"/>
      <c r="HF10" s="317"/>
      <c r="HG10" s="317"/>
      <c r="HH10" s="317"/>
      <c r="HI10" s="317"/>
      <c r="HJ10" s="317"/>
      <c r="HK10" s="317"/>
      <c r="HL10" s="317"/>
      <c r="HM10" s="317"/>
      <c r="HN10" s="317"/>
      <c r="HO10" s="317"/>
      <c r="HP10" s="317"/>
      <c r="HQ10" s="317"/>
      <c r="HR10" s="317"/>
      <c r="HS10" s="317"/>
      <c r="HT10" s="317"/>
      <c r="HU10" s="317"/>
      <c r="HV10" s="317"/>
      <c r="HW10" s="317"/>
      <c r="HX10" s="317"/>
      <c r="HY10" s="317"/>
      <c r="HZ10" s="317"/>
      <c r="IA10" s="317"/>
      <c r="IB10" s="317"/>
      <c r="IC10" s="317"/>
      <c r="ID10" s="317"/>
      <c r="IE10" s="317"/>
      <c r="IF10" s="317"/>
      <c r="IG10" s="317"/>
      <c r="IH10" s="317"/>
      <c r="II10" s="317"/>
      <c r="IJ10" s="317"/>
      <c r="IK10" s="317"/>
      <c r="IL10" s="317"/>
      <c r="IM10" s="317"/>
      <c r="IN10" s="317"/>
      <c r="IO10" s="317"/>
      <c r="IP10" s="317"/>
      <c r="IQ10" s="317"/>
      <c r="IR10" s="317"/>
      <c r="IS10" s="317"/>
      <c r="IT10" s="317"/>
      <c r="IU10" s="317"/>
      <c r="IV10" s="317"/>
      <c r="IW10" s="317"/>
      <c r="IX10" s="317"/>
      <c r="IY10" s="317"/>
      <c r="IZ10" s="317"/>
      <c r="JA10" s="317"/>
      <c r="JB10" s="317"/>
      <c r="JC10" s="317"/>
      <c r="JD10" s="317"/>
      <c r="JE10" s="317"/>
      <c r="JF10" s="317"/>
      <c r="JG10" s="317"/>
      <c r="JH10" s="317"/>
      <c r="JI10" s="317"/>
      <c r="JJ10" s="317"/>
      <c r="JK10" s="317"/>
      <c r="JL10" s="317"/>
    </row>
    <row r="11" spans="1:272">
      <c r="A11" s="257"/>
      <c r="B11" s="316" t="s">
        <v>170</v>
      </c>
      <c r="C11" s="316"/>
      <c r="D11" s="316"/>
      <c r="E11" s="316"/>
      <c r="F11" s="316"/>
      <c r="G11" s="316"/>
      <c r="H11" s="316"/>
      <c r="I11" s="316"/>
      <c r="J11" s="316"/>
      <c r="K11" s="316"/>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c r="CW11" s="257"/>
      <c r="CX11" s="257"/>
      <c r="CY11" s="257"/>
      <c r="CZ11" s="257"/>
      <c r="DA11" s="257"/>
      <c r="DB11" s="257"/>
      <c r="DC11" s="257"/>
      <c r="DD11" s="257"/>
      <c r="DE11" s="257"/>
      <c r="DF11" s="257"/>
      <c r="DG11" s="257"/>
      <c r="DH11" s="257"/>
      <c r="DI11" s="257"/>
      <c r="DJ11" s="257"/>
      <c r="DK11" s="257"/>
      <c r="DL11" s="257"/>
      <c r="DM11" s="257"/>
      <c r="DN11" s="257"/>
      <c r="DO11" s="257"/>
      <c r="DP11" s="257"/>
      <c r="DQ11" s="257"/>
      <c r="DR11" s="257"/>
      <c r="DS11" s="257"/>
      <c r="DT11" s="257"/>
      <c r="DU11" s="257"/>
      <c r="DV11" s="257"/>
      <c r="DW11" s="257"/>
      <c r="DX11" s="257"/>
      <c r="DY11" s="257"/>
      <c r="DZ11" s="257"/>
      <c r="EA11" s="257"/>
      <c r="EB11" s="257"/>
      <c r="EC11" s="257"/>
      <c r="ED11" s="257"/>
      <c r="EE11" s="257"/>
      <c r="EF11" s="257"/>
      <c r="EG11" s="317"/>
      <c r="EH11" s="317"/>
      <c r="EI11" s="317"/>
      <c r="EJ11" s="317"/>
      <c r="EK11" s="317"/>
      <c r="EL11" s="317"/>
      <c r="EM11" s="317"/>
      <c r="EN11" s="317"/>
      <c r="EO11" s="317"/>
      <c r="EP11" s="317"/>
      <c r="EQ11" s="317"/>
      <c r="ER11" s="317"/>
      <c r="ES11" s="317"/>
      <c r="ET11" s="317"/>
      <c r="EU11" s="317"/>
      <c r="EV11" s="317"/>
      <c r="EW11" s="317"/>
      <c r="EX11" s="317"/>
      <c r="EY11" s="317"/>
      <c r="EZ11" s="317"/>
      <c r="FA11" s="317"/>
      <c r="FB11" s="317"/>
      <c r="FC11" s="317"/>
      <c r="FD11" s="317"/>
      <c r="FE11" s="317"/>
      <c r="FF11" s="317"/>
      <c r="FG11" s="317"/>
      <c r="FH11" s="317"/>
      <c r="FI11" s="317"/>
      <c r="FJ11" s="317"/>
      <c r="FK11" s="317"/>
      <c r="FL11" s="317"/>
      <c r="FM11" s="317"/>
      <c r="FN11" s="317"/>
      <c r="FO11" s="317"/>
      <c r="FP11" s="317"/>
      <c r="FQ11" s="317"/>
      <c r="FR11" s="317"/>
      <c r="FS11" s="317"/>
      <c r="FT11" s="317"/>
      <c r="FU11" s="317"/>
      <c r="FV11" s="317"/>
      <c r="FW11" s="317"/>
      <c r="FX11" s="317"/>
      <c r="FY11" s="317"/>
      <c r="FZ11" s="317"/>
      <c r="GA11" s="317"/>
      <c r="GB11" s="317"/>
      <c r="GC11" s="317"/>
      <c r="GD11" s="317"/>
      <c r="GE11" s="317"/>
      <c r="GF11" s="317"/>
      <c r="GG11" s="317"/>
      <c r="GH11" s="317"/>
      <c r="GI11" s="317"/>
      <c r="GJ11" s="317"/>
      <c r="GK11" s="317"/>
      <c r="GL11" s="317"/>
      <c r="GM11" s="317"/>
      <c r="GN11" s="317"/>
      <c r="GO11" s="317"/>
      <c r="GP11" s="317"/>
      <c r="GQ11" s="317"/>
      <c r="GR11" s="317"/>
      <c r="GS11" s="317"/>
      <c r="GT11" s="317"/>
      <c r="GU11" s="317"/>
      <c r="GV11" s="317"/>
      <c r="GW11" s="317"/>
      <c r="GX11" s="317"/>
      <c r="GY11" s="317"/>
      <c r="GZ11" s="317"/>
      <c r="HA11" s="317"/>
      <c r="HB11" s="317"/>
      <c r="HC11" s="317"/>
      <c r="HD11" s="317"/>
      <c r="HE11" s="317"/>
      <c r="HF11" s="317"/>
      <c r="HG11" s="317"/>
      <c r="HH11" s="317"/>
      <c r="HI11" s="317"/>
      <c r="HJ11" s="317"/>
      <c r="HK11" s="317"/>
      <c r="HL11" s="317"/>
      <c r="HM11" s="317"/>
      <c r="HN11" s="317"/>
      <c r="HO11" s="317"/>
      <c r="HP11" s="317"/>
      <c r="HQ11" s="317"/>
      <c r="HR11" s="317"/>
      <c r="HS11" s="317"/>
      <c r="HT11" s="317"/>
      <c r="HU11" s="317"/>
      <c r="HV11" s="317"/>
      <c r="HW11" s="317"/>
      <c r="HX11" s="317"/>
      <c r="HY11" s="317"/>
      <c r="HZ11" s="317"/>
      <c r="IA11" s="317"/>
      <c r="IB11" s="317"/>
      <c r="IC11" s="317"/>
      <c r="ID11" s="317"/>
      <c r="IE11" s="317"/>
      <c r="IF11" s="317"/>
      <c r="IG11" s="317"/>
      <c r="IH11" s="317"/>
      <c r="II11" s="317"/>
      <c r="IJ11" s="317"/>
      <c r="IK11" s="317"/>
      <c r="IL11" s="317"/>
      <c r="IM11" s="317"/>
      <c r="IN11" s="317"/>
      <c r="IO11" s="317"/>
      <c r="IP11" s="317"/>
      <c r="IQ11" s="317"/>
      <c r="IR11" s="317"/>
      <c r="IS11" s="317"/>
      <c r="IT11" s="317"/>
      <c r="IU11" s="317"/>
      <c r="IV11" s="317"/>
      <c r="IW11" s="317"/>
      <c r="IX11" s="317"/>
      <c r="IY11" s="317"/>
      <c r="IZ11" s="317"/>
      <c r="JA11" s="317"/>
      <c r="JB11" s="317"/>
      <c r="JC11" s="317"/>
      <c r="JD11" s="317"/>
      <c r="JE11" s="317"/>
      <c r="JF11" s="317"/>
      <c r="JG11" s="317"/>
      <c r="JH11" s="317"/>
      <c r="JI11" s="317"/>
      <c r="JJ11" s="317"/>
      <c r="JK11" s="317"/>
      <c r="JL11" s="317"/>
    </row>
    <row r="12" spans="1:272">
      <c r="A12" s="257"/>
      <c r="B12" s="316"/>
      <c r="C12" s="316"/>
      <c r="D12" s="316"/>
      <c r="E12" s="316"/>
      <c r="F12" s="316"/>
      <c r="G12" s="316"/>
      <c r="H12" s="316"/>
      <c r="I12" s="316"/>
      <c r="J12" s="316"/>
      <c r="K12" s="316"/>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c r="CW12" s="257"/>
      <c r="CX12" s="257"/>
      <c r="CY12" s="257"/>
      <c r="CZ12" s="257"/>
      <c r="DA12" s="257"/>
      <c r="DB12" s="257"/>
      <c r="DC12" s="257"/>
      <c r="DD12" s="257"/>
      <c r="DE12" s="257"/>
      <c r="DF12" s="257"/>
      <c r="DG12" s="257"/>
      <c r="DH12" s="257"/>
      <c r="DI12" s="257"/>
      <c r="DJ12" s="257"/>
      <c r="DK12" s="257"/>
      <c r="DL12" s="257"/>
      <c r="DM12" s="257"/>
      <c r="DN12" s="257"/>
      <c r="DO12" s="257"/>
      <c r="DP12" s="257"/>
      <c r="DQ12" s="257"/>
      <c r="DR12" s="257"/>
      <c r="DS12" s="257"/>
      <c r="DT12" s="257"/>
      <c r="DU12" s="257"/>
      <c r="DV12" s="257"/>
      <c r="DW12" s="257"/>
      <c r="DX12" s="257"/>
      <c r="DY12" s="257"/>
      <c r="DZ12" s="257"/>
      <c r="EA12" s="257"/>
      <c r="EB12" s="257"/>
      <c r="EC12" s="257"/>
      <c r="ED12" s="257"/>
      <c r="EE12" s="257"/>
      <c r="EF12" s="257"/>
      <c r="EG12" s="317"/>
      <c r="EH12" s="317"/>
      <c r="EI12" s="317"/>
      <c r="EJ12" s="317"/>
      <c r="EK12" s="317"/>
      <c r="EL12" s="317"/>
      <c r="EM12" s="317"/>
      <c r="EN12" s="317"/>
      <c r="EO12" s="317"/>
      <c r="EP12" s="317"/>
      <c r="EQ12" s="317"/>
      <c r="ER12" s="317"/>
      <c r="ES12" s="317"/>
      <c r="ET12" s="317"/>
      <c r="EU12" s="317"/>
      <c r="EV12" s="317"/>
      <c r="EW12" s="317"/>
      <c r="EX12" s="317"/>
      <c r="EY12" s="317"/>
      <c r="EZ12" s="317"/>
      <c r="FA12" s="317"/>
      <c r="FB12" s="317"/>
      <c r="FC12" s="317"/>
      <c r="FD12" s="317"/>
      <c r="FE12" s="317"/>
      <c r="FF12" s="317"/>
      <c r="FG12" s="317"/>
      <c r="FH12" s="317"/>
      <c r="FI12" s="317"/>
      <c r="FJ12" s="317"/>
      <c r="FK12" s="317"/>
      <c r="FL12" s="317"/>
      <c r="FM12" s="317"/>
      <c r="FN12" s="317"/>
      <c r="FO12" s="317"/>
      <c r="FP12" s="317"/>
      <c r="FQ12" s="317"/>
      <c r="FR12" s="317"/>
      <c r="FS12" s="317"/>
      <c r="FT12" s="317"/>
      <c r="FU12" s="317"/>
      <c r="FV12" s="317"/>
      <c r="FW12" s="317"/>
      <c r="FX12" s="317"/>
      <c r="FY12" s="317"/>
      <c r="FZ12" s="317"/>
      <c r="GA12" s="317"/>
      <c r="GB12" s="317"/>
      <c r="GC12" s="317"/>
      <c r="GD12" s="317"/>
      <c r="GE12" s="317"/>
      <c r="GF12" s="317"/>
      <c r="GG12" s="317"/>
      <c r="GH12" s="317"/>
      <c r="GI12" s="317"/>
      <c r="GJ12" s="317"/>
      <c r="GK12" s="317"/>
      <c r="GL12" s="317"/>
      <c r="GM12" s="317"/>
      <c r="GN12" s="317"/>
      <c r="GO12" s="317"/>
      <c r="GP12" s="317"/>
      <c r="GQ12" s="317"/>
      <c r="GR12" s="317"/>
      <c r="GS12" s="317"/>
      <c r="GT12" s="317"/>
      <c r="GU12" s="317"/>
      <c r="GV12" s="317"/>
      <c r="GW12" s="317"/>
      <c r="GX12" s="317"/>
      <c r="GY12" s="317"/>
      <c r="GZ12" s="317"/>
      <c r="HA12" s="317"/>
      <c r="HB12" s="317"/>
      <c r="HC12" s="317"/>
      <c r="HD12" s="317"/>
      <c r="HE12" s="317"/>
      <c r="HF12" s="317"/>
      <c r="HG12" s="317"/>
      <c r="HH12" s="317"/>
      <c r="HI12" s="317"/>
      <c r="HJ12" s="317"/>
      <c r="HK12" s="317"/>
      <c r="HL12" s="317"/>
      <c r="HM12" s="317"/>
      <c r="HN12" s="317"/>
      <c r="HO12" s="317"/>
      <c r="HP12" s="317"/>
      <c r="HQ12" s="317"/>
      <c r="HR12" s="317"/>
      <c r="HS12" s="317"/>
      <c r="HT12" s="317"/>
      <c r="HU12" s="317"/>
      <c r="HV12" s="317"/>
      <c r="HW12" s="317"/>
      <c r="HX12" s="317"/>
      <c r="HY12" s="317"/>
      <c r="HZ12" s="317"/>
      <c r="IA12" s="317"/>
      <c r="IB12" s="317"/>
      <c r="IC12" s="317"/>
      <c r="ID12" s="317"/>
      <c r="IE12" s="317"/>
      <c r="IF12" s="317"/>
      <c r="IG12" s="317"/>
      <c r="IH12" s="317"/>
      <c r="II12" s="317"/>
      <c r="IJ12" s="317"/>
      <c r="IK12" s="317"/>
      <c r="IL12" s="317"/>
      <c r="IM12" s="317"/>
      <c r="IN12" s="317"/>
      <c r="IO12" s="317"/>
      <c r="IP12" s="317"/>
      <c r="IQ12" s="317"/>
      <c r="IR12" s="317"/>
      <c r="IS12" s="317"/>
      <c r="IT12" s="317"/>
      <c r="IU12" s="317"/>
      <c r="IV12" s="317"/>
      <c r="IW12" s="317"/>
      <c r="IX12" s="317"/>
      <c r="IY12" s="317"/>
      <c r="IZ12" s="317"/>
      <c r="JA12" s="317"/>
      <c r="JB12" s="317"/>
      <c r="JC12" s="317"/>
      <c r="JD12" s="317"/>
      <c r="JE12" s="317"/>
      <c r="JF12" s="317"/>
      <c r="JG12" s="317"/>
      <c r="JH12" s="317"/>
      <c r="JI12" s="317"/>
      <c r="JJ12" s="317"/>
      <c r="JK12" s="317"/>
      <c r="JL12" s="317"/>
    </row>
    <row r="13" spans="1:272">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57"/>
      <c r="BL13" s="257"/>
      <c r="BM13" s="257"/>
      <c r="BN13" s="257"/>
      <c r="BO13" s="257"/>
      <c r="BP13" s="257"/>
      <c r="BQ13" s="257"/>
      <c r="BR13" s="257"/>
      <c r="BS13" s="257"/>
      <c r="BT13" s="257"/>
      <c r="BU13" s="257"/>
      <c r="BV13" s="257"/>
      <c r="BW13" s="257"/>
      <c r="BX13" s="257"/>
      <c r="BY13" s="257"/>
      <c r="BZ13" s="257"/>
      <c r="CA13" s="257"/>
      <c r="CB13" s="257"/>
      <c r="CC13" s="257"/>
      <c r="CD13" s="257"/>
      <c r="CE13" s="257"/>
      <c r="CF13" s="257"/>
      <c r="CG13" s="257"/>
      <c r="CH13" s="257"/>
      <c r="CI13" s="257"/>
      <c r="CJ13" s="257"/>
      <c r="CK13" s="257"/>
      <c r="CL13" s="257"/>
      <c r="CM13" s="257"/>
      <c r="CN13" s="257"/>
      <c r="CO13" s="257"/>
      <c r="CP13" s="257"/>
      <c r="CQ13" s="257"/>
      <c r="CR13" s="257"/>
      <c r="CS13" s="257"/>
      <c r="CT13" s="257"/>
      <c r="CU13" s="257"/>
      <c r="CV13" s="257"/>
      <c r="CW13" s="257"/>
      <c r="CX13" s="257"/>
      <c r="CY13" s="257"/>
      <c r="CZ13" s="257"/>
      <c r="DA13" s="257"/>
      <c r="DB13" s="257"/>
      <c r="DC13" s="257"/>
      <c r="DD13" s="257"/>
      <c r="DE13" s="257"/>
      <c r="DF13" s="257"/>
      <c r="DG13" s="257"/>
      <c r="DH13" s="257"/>
      <c r="DI13" s="257"/>
      <c r="DJ13" s="257"/>
      <c r="DK13" s="257"/>
      <c r="DL13" s="257"/>
      <c r="DM13" s="257"/>
      <c r="DN13" s="257"/>
      <c r="DO13" s="257"/>
      <c r="DP13" s="257"/>
      <c r="DQ13" s="257"/>
      <c r="DR13" s="257"/>
      <c r="DS13" s="257"/>
      <c r="DT13" s="257"/>
      <c r="DU13" s="257"/>
      <c r="DV13" s="257"/>
      <c r="DW13" s="257"/>
      <c r="DX13" s="257"/>
      <c r="DY13" s="257"/>
      <c r="DZ13" s="257"/>
      <c r="EA13" s="257"/>
      <c r="EB13" s="257"/>
      <c r="EC13" s="257"/>
      <c r="ED13" s="257"/>
      <c r="EE13" s="257"/>
      <c r="EF13" s="257"/>
      <c r="EG13" s="317"/>
      <c r="EH13" s="317"/>
      <c r="EI13" s="317"/>
      <c r="EJ13" s="317"/>
      <c r="EK13" s="317"/>
      <c r="EL13" s="317"/>
      <c r="EM13" s="317"/>
      <c r="EN13" s="317"/>
      <c r="EO13" s="317"/>
      <c r="EP13" s="317"/>
      <c r="EQ13" s="317"/>
      <c r="ER13" s="317"/>
      <c r="ES13" s="317"/>
      <c r="ET13" s="317"/>
      <c r="EU13" s="317"/>
      <c r="EV13" s="317"/>
      <c r="EW13" s="317"/>
      <c r="EX13" s="317"/>
      <c r="EY13" s="317"/>
      <c r="EZ13" s="317"/>
      <c r="FA13" s="317"/>
      <c r="FB13" s="317"/>
      <c r="FC13" s="317"/>
      <c r="FD13" s="317"/>
      <c r="FE13" s="317"/>
      <c r="FF13" s="317"/>
      <c r="FG13" s="317"/>
      <c r="FH13" s="317"/>
      <c r="FI13" s="317"/>
      <c r="FJ13" s="317"/>
      <c r="FK13" s="317"/>
      <c r="FL13" s="317"/>
      <c r="FM13" s="317"/>
      <c r="FN13" s="317"/>
      <c r="FO13" s="317"/>
      <c r="FP13" s="317"/>
      <c r="FQ13" s="317"/>
      <c r="FR13" s="317"/>
      <c r="FS13" s="317"/>
      <c r="FT13" s="317"/>
      <c r="FU13" s="317"/>
      <c r="FV13" s="317"/>
      <c r="FW13" s="317"/>
      <c r="FX13" s="317"/>
      <c r="FY13" s="317"/>
      <c r="FZ13" s="317"/>
      <c r="GA13" s="317"/>
      <c r="GB13" s="317"/>
      <c r="GC13" s="317"/>
      <c r="GD13" s="317"/>
      <c r="GE13" s="317"/>
      <c r="GF13" s="317"/>
      <c r="GG13" s="317"/>
      <c r="GH13" s="317"/>
      <c r="GI13" s="317"/>
      <c r="GJ13" s="317"/>
      <c r="GK13" s="317"/>
      <c r="GL13" s="317"/>
      <c r="GM13" s="317"/>
      <c r="GN13" s="317"/>
      <c r="GO13" s="317"/>
      <c r="GP13" s="317"/>
      <c r="GQ13" s="317"/>
      <c r="GR13" s="317"/>
      <c r="GS13" s="317"/>
      <c r="GT13" s="317"/>
      <c r="GU13" s="317"/>
      <c r="GV13" s="317"/>
      <c r="GW13" s="317"/>
      <c r="GX13" s="317"/>
      <c r="GY13" s="317"/>
      <c r="GZ13" s="317"/>
      <c r="HA13" s="317"/>
      <c r="HB13" s="317"/>
      <c r="HC13" s="317"/>
      <c r="HD13" s="317"/>
      <c r="HE13" s="317"/>
      <c r="HF13" s="317"/>
      <c r="HG13" s="317"/>
      <c r="HH13" s="317"/>
      <c r="HI13" s="317"/>
      <c r="HJ13" s="317"/>
      <c r="HK13" s="317"/>
      <c r="HL13" s="317"/>
      <c r="HM13" s="317"/>
      <c r="HN13" s="317"/>
      <c r="HO13" s="317"/>
      <c r="HP13" s="317"/>
      <c r="HQ13" s="317"/>
      <c r="HR13" s="317"/>
      <c r="HS13" s="317"/>
      <c r="HT13" s="317"/>
      <c r="HU13" s="317"/>
      <c r="HV13" s="317"/>
      <c r="HW13" s="317"/>
      <c r="HX13" s="317"/>
      <c r="HY13" s="317"/>
      <c r="HZ13" s="317"/>
      <c r="IA13" s="317"/>
      <c r="IB13" s="317"/>
      <c r="IC13" s="317"/>
      <c r="ID13" s="317"/>
      <c r="IE13" s="317"/>
      <c r="IF13" s="317"/>
      <c r="IG13" s="317"/>
      <c r="IH13" s="317"/>
      <c r="II13" s="317"/>
      <c r="IJ13" s="317"/>
      <c r="IK13" s="317"/>
      <c r="IL13" s="317"/>
      <c r="IM13" s="317"/>
      <c r="IN13" s="317"/>
      <c r="IO13" s="317"/>
      <c r="IP13" s="317"/>
      <c r="IQ13" s="317"/>
      <c r="IR13" s="317"/>
      <c r="IS13" s="317"/>
      <c r="IT13" s="317"/>
      <c r="IU13" s="317"/>
      <c r="IV13" s="317"/>
      <c r="IW13" s="317"/>
      <c r="IX13" s="317"/>
      <c r="IY13" s="317"/>
      <c r="IZ13" s="317"/>
      <c r="JA13" s="317"/>
      <c r="JB13" s="317"/>
      <c r="JC13" s="317"/>
      <c r="JD13" s="317"/>
      <c r="JE13" s="317"/>
      <c r="JF13" s="317"/>
      <c r="JG13" s="317"/>
      <c r="JH13" s="317"/>
      <c r="JI13" s="317"/>
      <c r="JJ13" s="317"/>
      <c r="JK13" s="317"/>
      <c r="JL13" s="317"/>
    </row>
    <row r="14" spans="1:272">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7"/>
      <c r="BY14" s="257"/>
      <c r="BZ14" s="257"/>
      <c r="CA14" s="257"/>
      <c r="CB14" s="257"/>
      <c r="CC14" s="257"/>
      <c r="CD14" s="257"/>
      <c r="CE14" s="257"/>
      <c r="CF14" s="257"/>
      <c r="CG14" s="257"/>
      <c r="CH14" s="257"/>
      <c r="CI14" s="257"/>
      <c r="CJ14" s="257"/>
      <c r="CK14" s="257"/>
      <c r="CL14" s="257"/>
      <c r="CM14" s="257"/>
      <c r="CN14" s="257"/>
      <c r="CO14" s="257"/>
      <c r="CP14" s="257"/>
      <c r="CQ14" s="257"/>
      <c r="CR14" s="257"/>
      <c r="CS14" s="257"/>
      <c r="CT14" s="257"/>
      <c r="CU14" s="257"/>
      <c r="CV14" s="257"/>
      <c r="CW14" s="257"/>
      <c r="CX14" s="257"/>
      <c r="CY14" s="257"/>
      <c r="CZ14" s="257"/>
      <c r="DA14" s="257"/>
      <c r="DB14" s="257"/>
      <c r="DC14" s="257"/>
      <c r="DD14" s="257"/>
      <c r="DE14" s="257"/>
      <c r="DF14" s="257"/>
      <c r="DG14" s="257"/>
      <c r="DH14" s="257"/>
      <c r="DI14" s="257"/>
      <c r="DJ14" s="257"/>
      <c r="DK14" s="257"/>
      <c r="DL14" s="257"/>
      <c r="DM14" s="257"/>
      <c r="DN14" s="257"/>
      <c r="DO14" s="257"/>
      <c r="DP14" s="257"/>
      <c r="DQ14" s="257"/>
      <c r="DR14" s="257"/>
      <c r="DS14" s="257"/>
      <c r="DT14" s="257"/>
      <c r="DU14" s="257"/>
      <c r="DV14" s="257"/>
      <c r="DW14" s="257"/>
      <c r="DX14" s="257"/>
      <c r="DY14" s="257"/>
      <c r="DZ14" s="257"/>
      <c r="EA14" s="257"/>
      <c r="EB14" s="257"/>
      <c r="EC14" s="257"/>
      <c r="ED14" s="257"/>
      <c r="EE14" s="257"/>
      <c r="EF14" s="257"/>
      <c r="EG14" s="317"/>
      <c r="EH14" s="317"/>
      <c r="EI14" s="317"/>
      <c r="EJ14" s="317"/>
      <c r="EK14" s="317"/>
      <c r="EL14" s="317"/>
      <c r="EM14" s="317"/>
      <c r="EN14" s="317"/>
      <c r="EO14" s="317"/>
      <c r="EP14" s="317"/>
      <c r="EQ14" s="317"/>
      <c r="ER14" s="317"/>
      <c r="ES14" s="317"/>
      <c r="ET14" s="317"/>
      <c r="EU14" s="317"/>
      <c r="EV14" s="317"/>
      <c r="EW14" s="317"/>
      <c r="EX14" s="317"/>
      <c r="EY14" s="317"/>
      <c r="EZ14" s="317"/>
      <c r="FA14" s="317"/>
      <c r="FB14" s="317"/>
      <c r="FC14" s="317"/>
      <c r="FD14" s="317"/>
      <c r="FE14" s="317"/>
      <c r="FF14" s="317"/>
      <c r="FG14" s="317"/>
      <c r="FH14" s="317"/>
      <c r="FI14" s="317"/>
      <c r="FJ14" s="317"/>
      <c r="FK14" s="317"/>
      <c r="FL14" s="317"/>
      <c r="FM14" s="317"/>
      <c r="FN14" s="317"/>
      <c r="FO14" s="317"/>
      <c r="FP14" s="317"/>
      <c r="FQ14" s="317"/>
      <c r="FR14" s="317"/>
      <c r="FS14" s="317"/>
      <c r="FT14" s="317"/>
      <c r="FU14" s="317"/>
      <c r="FV14" s="317"/>
      <c r="FW14" s="317"/>
      <c r="FX14" s="317"/>
      <c r="FY14" s="317"/>
      <c r="FZ14" s="317"/>
      <c r="GA14" s="317"/>
      <c r="GB14" s="317"/>
      <c r="GC14" s="317"/>
      <c r="GD14" s="317"/>
      <c r="GE14" s="317"/>
      <c r="GF14" s="317"/>
      <c r="GG14" s="317"/>
      <c r="GH14" s="317"/>
      <c r="GI14" s="317"/>
      <c r="GJ14" s="317"/>
      <c r="GK14" s="317"/>
      <c r="GL14" s="317"/>
      <c r="GM14" s="317"/>
      <c r="GN14" s="317"/>
      <c r="GO14" s="317"/>
      <c r="GP14" s="317"/>
      <c r="GQ14" s="317"/>
      <c r="GR14" s="317"/>
      <c r="GS14" s="317"/>
      <c r="GT14" s="317"/>
      <c r="GU14" s="317"/>
      <c r="GV14" s="317"/>
      <c r="GW14" s="317"/>
      <c r="GX14" s="317"/>
      <c r="GY14" s="317"/>
      <c r="GZ14" s="317"/>
      <c r="HA14" s="317"/>
      <c r="HB14" s="317"/>
      <c r="HC14" s="317"/>
      <c r="HD14" s="317"/>
      <c r="HE14" s="317"/>
      <c r="HF14" s="317"/>
      <c r="HG14" s="317"/>
      <c r="HH14" s="317"/>
      <c r="HI14" s="317"/>
      <c r="HJ14" s="317"/>
      <c r="HK14" s="317"/>
      <c r="HL14" s="317"/>
      <c r="HM14" s="317"/>
      <c r="HN14" s="317"/>
      <c r="HO14" s="317"/>
      <c r="HP14" s="317"/>
      <c r="HQ14" s="317"/>
      <c r="HR14" s="317"/>
      <c r="HS14" s="317"/>
      <c r="HT14" s="317"/>
      <c r="HU14" s="317"/>
      <c r="HV14" s="317"/>
      <c r="HW14" s="317"/>
      <c r="HX14" s="317"/>
      <c r="HY14" s="317"/>
      <c r="HZ14" s="317"/>
      <c r="IA14" s="317"/>
      <c r="IB14" s="317"/>
      <c r="IC14" s="317"/>
      <c r="ID14" s="317"/>
      <c r="IE14" s="317"/>
      <c r="IF14" s="317"/>
      <c r="IG14" s="317"/>
      <c r="IH14" s="317"/>
      <c r="II14" s="317"/>
      <c r="IJ14" s="317"/>
      <c r="IK14" s="317"/>
      <c r="IL14" s="317"/>
      <c r="IM14" s="317"/>
      <c r="IN14" s="317"/>
      <c r="IO14" s="317"/>
      <c r="IP14" s="317"/>
      <c r="IQ14" s="317"/>
      <c r="IR14" s="317"/>
      <c r="IS14" s="317"/>
      <c r="IT14" s="317"/>
      <c r="IU14" s="317"/>
      <c r="IV14" s="317"/>
      <c r="IW14" s="317"/>
      <c r="IX14" s="317"/>
      <c r="IY14" s="317"/>
      <c r="IZ14" s="317"/>
      <c r="JA14" s="317"/>
      <c r="JB14" s="317"/>
      <c r="JC14" s="317"/>
      <c r="JD14" s="317"/>
      <c r="JE14" s="317"/>
      <c r="JF14" s="317"/>
      <c r="JG14" s="317"/>
      <c r="JH14" s="317"/>
      <c r="JI14" s="317"/>
      <c r="JJ14" s="317"/>
      <c r="JK14" s="317"/>
      <c r="JL14" s="317"/>
    </row>
    <row r="15" spans="1:272">
      <c r="A15" s="257"/>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57"/>
      <c r="CT15" s="257"/>
      <c r="CU15" s="257"/>
      <c r="CV15" s="257"/>
      <c r="CW15" s="257"/>
      <c r="CX15" s="257"/>
      <c r="CY15" s="257"/>
      <c r="CZ15" s="257"/>
      <c r="DA15" s="257"/>
      <c r="DB15" s="257"/>
      <c r="DC15" s="257"/>
      <c r="DD15" s="257"/>
      <c r="DE15" s="257"/>
      <c r="DF15" s="257"/>
      <c r="DG15" s="257"/>
      <c r="DH15" s="257"/>
      <c r="DI15" s="257"/>
      <c r="DJ15" s="257"/>
      <c r="DK15" s="257"/>
      <c r="DL15" s="257"/>
      <c r="DM15" s="257"/>
      <c r="DN15" s="257"/>
      <c r="DO15" s="257"/>
      <c r="DP15" s="257"/>
      <c r="DQ15" s="257"/>
      <c r="DR15" s="257"/>
      <c r="DS15" s="257"/>
      <c r="DT15" s="257"/>
      <c r="DU15" s="257"/>
      <c r="DV15" s="257"/>
      <c r="DW15" s="257"/>
      <c r="DX15" s="257"/>
      <c r="DY15" s="257"/>
      <c r="DZ15" s="257"/>
      <c r="EA15" s="257"/>
      <c r="EB15" s="257"/>
      <c r="EC15" s="257"/>
      <c r="ED15" s="257"/>
      <c r="EE15" s="257"/>
      <c r="EF15" s="257"/>
      <c r="EG15" s="317"/>
      <c r="EH15" s="317"/>
      <c r="EI15" s="317"/>
      <c r="EJ15" s="317"/>
      <c r="EK15" s="317"/>
      <c r="EL15" s="317"/>
      <c r="EM15" s="317"/>
      <c r="EN15" s="317"/>
      <c r="EO15" s="317"/>
      <c r="EP15" s="317"/>
      <c r="EQ15" s="317"/>
      <c r="ER15" s="317"/>
      <c r="ES15" s="317"/>
      <c r="ET15" s="317"/>
      <c r="EU15" s="317"/>
      <c r="EV15" s="317"/>
      <c r="EW15" s="317"/>
      <c r="EX15" s="317"/>
      <c r="EY15" s="317"/>
      <c r="EZ15" s="317"/>
      <c r="FA15" s="317"/>
      <c r="FB15" s="317"/>
      <c r="FC15" s="317"/>
      <c r="FD15" s="317"/>
      <c r="FE15" s="317"/>
      <c r="FF15" s="317"/>
      <c r="FG15" s="317"/>
      <c r="FH15" s="317"/>
      <c r="FI15" s="317"/>
      <c r="FJ15" s="317"/>
      <c r="FK15" s="317"/>
      <c r="FL15" s="317"/>
      <c r="FM15" s="317"/>
      <c r="FN15" s="317"/>
      <c r="FO15" s="317"/>
      <c r="FP15" s="317"/>
      <c r="FQ15" s="317"/>
      <c r="FR15" s="317"/>
      <c r="FS15" s="317"/>
      <c r="FT15" s="317"/>
      <c r="FU15" s="317"/>
      <c r="FV15" s="317"/>
      <c r="FW15" s="317"/>
      <c r="FX15" s="317"/>
      <c r="FY15" s="317"/>
      <c r="FZ15" s="317"/>
      <c r="GA15" s="317"/>
      <c r="GB15" s="317"/>
      <c r="GC15" s="317"/>
      <c r="GD15" s="317"/>
      <c r="GE15" s="317"/>
      <c r="GF15" s="317"/>
      <c r="GG15" s="317"/>
      <c r="GH15" s="317"/>
      <c r="GI15" s="317"/>
      <c r="GJ15" s="317"/>
      <c r="GK15" s="317"/>
      <c r="GL15" s="317"/>
      <c r="GM15" s="317"/>
      <c r="GN15" s="317"/>
      <c r="GO15" s="317"/>
      <c r="GP15" s="317"/>
      <c r="GQ15" s="317"/>
      <c r="GR15" s="317"/>
      <c r="GS15" s="317"/>
      <c r="GT15" s="317"/>
      <c r="GU15" s="317"/>
      <c r="GV15" s="317"/>
      <c r="GW15" s="317"/>
      <c r="GX15" s="317"/>
      <c r="GY15" s="317"/>
      <c r="GZ15" s="317"/>
      <c r="HA15" s="317"/>
      <c r="HB15" s="317"/>
      <c r="HC15" s="317"/>
      <c r="HD15" s="317"/>
      <c r="HE15" s="317"/>
      <c r="HF15" s="317"/>
      <c r="HG15" s="317"/>
      <c r="HH15" s="317"/>
      <c r="HI15" s="317"/>
      <c r="HJ15" s="317"/>
      <c r="HK15" s="317"/>
      <c r="HL15" s="317"/>
      <c r="HM15" s="317"/>
      <c r="HN15" s="317"/>
      <c r="HO15" s="317"/>
      <c r="HP15" s="317"/>
      <c r="HQ15" s="317"/>
      <c r="HR15" s="317"/>
      <c r="HS15" s="317"/>
      <c r="HT15" s="317"/>
      <c r="HU15" s="317"/>
      <c r="HV15" s="317"/>
      <c r="HW15" s="317"/>
      <c r="HX15" s="317"/>
      <c r="HY15" s="317"/>
      <c r="HZ15" s="317"/>
      <c r="IA15" s="317"/>
      <c r="IB15" s="317"/>
      <c r="IC15" s="317"/>
      <c r="ID15" s="317"/>
      <c r="IE15" s="317"/>
      <c r="IF15" s="317"/>
      <c r="IG15" s="317"/>
      <c r="IH15" s="317"/>
      <c r="II15" s="317"/>
      <c r="IJ15" s="317"/>
      <c r="IK15" s="317"/>
      <c r="IL15" s="317"/>
      <c r="IM15" s="317"/>
      <c r="IN15" s="317"/>
      <c r="IO15" s="317"/>
      <c r="IP15" s="317"/>
      <c r="IQ15" s="317"/>
      <c r="IR15" s="317"/>
      <c r="IS15" s="317"/>
      <c r="IT15" s="317"/>
      <c r="IU15" s="317"/>
      <c r="IV15" s="317"/>
      <c r="IW15" s="317"/>
      <c r="IX15" s="317"/>
      <c r="IY15" s="317"/>
      <c r="IZ15" s="317"/>
      <c r="JA15" s="317"/>
      <c r="JB15" s="317"/>
      <c r="JC15" s="317"/>
      <c r="JD15" s="317"/>
      <c r="JE15" s="317"/>
      <c r="JF15" s="317"/>
      <c r="JG15" s="317"/>
      <c r="JH15" s="317"/>
      <c r="JI15" s="317"/>
      <c r="JJ15" s="317"/>
      <c r="JK15" s="317"/>
      <c r="JL15" s="317"/>
    </row>
    <row r="16" spans="1:272">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7"/>
      <c r="BY16" s="257"/>
      <c r="BZ16" s="257"/>
      <c r="CA16" s="257"/>
      <c r="CB16" s="257"/>
      <c r="CC16" s="257"/>
      <c r="CD16" s="257"/>
      <c r="CE16" s="257"/>
      <c r="CF16" s="257"/>
      <c r="CG16" s="257"/>
      <c r="CH16" s="257"/>
      <c r="CI16" s="257"/>
      <c r="CJ16" s="257"/>
      <c r="CK16" s="257"/>
      <c r="CL16" s="257"/>
      <c r="CM16" s="257"/>
      <c r="CN16" s="257"/>
      <c r="CO16" s="257"/>
      <c r="CP16" s="257"/>
      <c r="CQ16" s="257"/>
      <c r="CR16" s="257"/>
      <c r="CS16" s="257"/>
      <c r="CT16" s="257"/>
      <c r="CU16" s="257"/>
      <c r="CV16" s="257"/>
      <c r="CW16" s="257"/>
      <c r="CX16" s="257"/>
      <c r="CY16" s="257"/>
      <c r="CZ16" s="257"/>
      <c r="DA16" s="257"/>
      <c r="DB16" s="257"/>
      <c r="DC16" s="257"/>
      <c r="DD16" s="257"/>
      <c r="DE16" s="257"/>
      <c r="DF16" s="257"/>
      <c r="DG16" s="257"/>
      <c r="DH16" s="257"/>
      <c r="DI16" s="257"/>
      <c r="DJ16" s="257"/>
      <c r="DK16" s="257"/>
      <c r="DL16" s="257"/>
      <c r="DM16" s="257"/>
      <c r="DN16" s="257"/>
      <c r="DO16" s="257"/>
      <c r="DP16" s="257"/>
      <c r="DQ16" s="257"/>
      <c r="DR16" s="257"/>
      <c r="DS16" s="257"/>
      <c r="DT16" s="257"/>
      <c r="DU16" s="257"/>
      <c r="DV16" s="257"/>
      <c r="DW16" s="257"/>
      <c r="DX16" s="257"/>
      <c r="DY16" s="257"/>
      <c r="DZ16" s="257"/>
      <c r="EA16" s="257"/>
      <c r="EB16" s="257"/>
      <c r="EC16" s="257"/>
      <c r="ED16" s="257"/>
      <c r="EE16" s="257"/>
      <c r="EF16" s="257"/>
      <c r="EG16" s="317"/>
      <c r="EH16" s="317"/>
      <c r="EI16" s="317"/>
      <c r="EJ16" s="317"/>
      <c r="EK16" s="317"/>
      <c r="EL16" s="317"/>
      <c r="EM16" s="317"/>
      <c r="EN16" s="317"/>
      <c r="EO16" s="317"/>
      <c r="EP16" s="317"/>
      <c r="EQ16" s="317"/>
      <c r="ER16" s="317"/>
      <c r="ES16" s="317"/>
      <c r="ET16" s="317"/>
      <c r="EU16" s="317"/>
      <c r="EV16" s="317"/>
      <c r="EW16" s="317"/>
      <c r="EX16" s="317"/>
      <c r="EY16" s="317"/>
      <c r="EZ16" s="317"/>
      <c r="FA16" s="317"/>
      <c r="FB16" s="317"/>
      <c r="FC16" s="317"/>
      <c r="FD16" s="317"/>
      <c r="FE16" s="317"/>
      <c r="FF16" s="317"/>
      <c r="FG16" s="317"/>
      <c r="FH16" s="317"/>
      <c r="FI16" s="317"/>
      <c r="FJ16" s="317"/>
      <c r="FK16" s="317"/>
      <c r="FL16" s="317"/>
      <c r="FM16" s="317"/>
      <c r="FN16" s="317"/>
      <c r="FO16" s="317"/>
      <c r="FP16" s="317"/>
      <c r="FQ16" s="317"/>
      <c r="FR16" s="317"/>
      <c r="FS16" s="317"/>
      <c r="FT16" s="317"/>
      <c r="FU16" s="317"/>
      <c r="FV16" s="317"/>
      <c r="FW16" s="317"/>
      <c r="FX16" s="317"/>
      <c r="FY16" s="317"/>
      <c r="FZ16" s="317"/>
      <c r="GA16" s="317"/>
      <c r="GB16" s="317"/>
      <c r="GC16" s="317"/>
      <c r="GD16" s="317"/>
      <c r="GE16" s="317"/>
      <c r="GF16" s="317"/>
      <c r="GG16" s="317"/>
      <c r="GH16" s="317"/>
      <c r="GI16" s="317"/>
      <c r="GJ16" s="317"/>
      <c r="GK16" s="317"/>
      <c r="GL16" s="317"/>
      <c r="GM16" s="317"/>
      <c r="GN16" s="317"/>
      <c r="GO16" s="317"/>
      <c r="GP16" s="317"/>
      <c r="GQ16" s="317"/>
      <c r="GR16" s="317"/>
      <c r="GS16" s="317"/>
      <c r="GT16" s="317"/>
      <c r="GU16" s="317"/>
      <c r="GV16" s="317"/>
      <c r="GW16" s="317"/>
      <c r="GX16" s="317"/>
      <c r="GY16" s="317"/>
      <c r="GZ16" s="317"/>
      <c r="HA16" s="317"/>
      <c r="HB16" s="317"/>
      <c r="HC16" s="317"/>
      <c r="HD16" s="317"/>
      <c r="HE16" s="317"/>
      <c r="HF16" s="317"/>
      <c r="HG16" s="317"/>
      <c r="HH16" s="317"/>
      <c r="HI16" s="317"/>
      <c r="HJ16" s="317"/>
      <c r="HK16" s="317"/>
      <c r="HL16" s="317"/>
      <c r="HM16" s="317"/>
      <c r="HN16" s="317"/>
      <c r="HO16" s="317"/>
      <c r="HP16" s="317"/>
      <c r="HQ16" s="317"/>
      <c r="HR16" s="317"/>
      <c r="HS16" s="317"/>
      <c r="HT16" s="317"/>
      <c r="HU16" s="317"/>
      <c r="HV16" s="317"/>
      <c r="HW16" s="317"/>
      <c r="HX16" s="317"/>
      <c r="HY16" s="317"/>
      <c r="HZ16" s="317"/>
      <c r="IA16" s="317"/>
      <c r="IB16" s="317"/>
      <c r="IC16" s="317"/>
      <c r="ID16" s="317"/>
      <c r="IE16" s="317"/>
      <c r="IF16" s="317"/>
      <c r="IG16" s="317"/>
      <c r="IH16" s="317"/>
      <c r="II16" s="317"/>
      <c r="IJ16" s="317"/>
      <c r="IK16" s="317"/>
      <c r="IL16" s="317"/>
      <c r="IM16" s="317"/>
      <c r="IN16" s="317"/>
      <c r="IO16" s="317"/>
      <c r="IP16" s="317"/>
      <c r="IQ16" s="317"/>
      <c r="IR16" s="317"/>
      <c r="IS16" s="317"/>
      <c r="IT16" s="317"/>
      <c r="IU16" s="317"/>
      <c r="IV16" s="317"/>
      <c r="IW16" s="317"/>
      <c r="IX16" s="317"/>
      <c r="IY16" s="317"/>
      <c r="IZ16" s="317"/>
      <c r="JA16" s="317"/>
      <c r="JB16" s="317"/>
      <c r="JC16" s="317"/>
      <c r="JD16" s="317"/>
      <c r="JE16" s="317"/>
      <c r="JF16" s="317"/>
      <c r="JG16" s="317"/>
      <c r="JH16" s="317"/>
      <c r="JI16" s="317"/>
      <c r="JJ16" s="317"/>
      <c r="JK16" s="317"/>
      <c r="JL16" s="317"/>
    </row>
    <row r="17" spans="1:272">
      <c r="A17" s="257"/>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c r="CW17" s="257"/>
      <c r="CX17" s="257"/>
      <c r="CY17" s="257"/>
      <c r="CZ17" s="257"/>
      <c r="DA17" s="257"/>
      <c r="DB17" s="257"/>
      <c r="DC17" s="257"/>
      <c r="DD17" s="257"/>
      <c r="DE17" s="257"/>
      <c r="DF17" s="257"/>
      <c r="DG17" s="257"/>
      <c r="DH17" s="257"/>
      <c r="DI17" s="257"/>
      <c r="DJ17" s="257"/>
      <c r="DK17" s="257"/>
      <c r="DL17" s="257"/>
      <c r="DM17" s="257"/>
      <c r="DN17" s="257"/>
      <c r="DO17" s="257"/>
      <c r="DP17" s="257"/>
      <c r="DQ17" s="257"/>
      <c r="DR17" s="257"/>
      <c r="DS17" s="257"/>
      <c r="DT17" s="257"/>
      <c r="DU17" s="257"/>
      <c r="DV17" s="257"/>
      <c r="DW17" s="257"/>
      <c r="DX17" s="257"/>
      <c r="DY17" s="257"/>
      <c r="DZ17" s="257"/>
      <c r="EA17" s="257"/>
      <c r="EB17" s="257"/>
      <c r="EC17" s="257"/>
      <c r="ED17" s="257"/>
      <c r="EE17" s="257"/>
      <c r="EF17" s="257"/>
      <c r="EG17" s="317"/>
      <c r="EH17" s="317"/>
      <c r="EI17" s="317"/>
      <c r="EJ17" s="317"/>
      <c r="EK17" s="317"/>
      <c r="EL17" s="317"/>
      <c r="EM17" s="317"/>
      <c r="EN17" s="317"/>
      <c r="EO17" s="317"/>
      <c r="EP17" s="317"/>
      <c r="EQ17" s="317"/>
      <c r="ER17" s="317"/>
      <c r="ES17" s="317"/>
      <c r="ET17" s="317"/>
      <c r="EU17" s="317"/>
      <c r="EV17" s="317"/>
      <c r="EW17" s="317"/>
      <c r="EX17" s="317"/>
      <c r="EY17" s="317"/>
      <c r="EZ17" s="317"/>
      <c r="FA17" s="317"/>
      <c r="FB17" s="317"/>
      <c r="FC17" s="317"/>
      <c r="FD17" s="317"/>
      <c r="FE17" s="317"/>
      <c r="FF17" s="317"/>
      <c r="FG17" s="317"/>
      <c r="FH17" s="317"/>
      <c r="FI17" s="317"/>
      <c r="FJ17" s="317"/>
      <c r="FK17" s="317"/>
      <c r="FL17" s="317"/>
      <c r="FM17" s="317"/>
      <c r="FN17" s="317"/>
      <c r="FO17" s="317"/>
      <c r="FP17" s="317"/>
      <c r="FQ17" s="317"/>
      <c r="FR17" s="317"/>
      <c r="FS17" s="317"/>
      <c r="FT17" s="317"/>
      <c r="FU17" s="317"/>
      <c r="FV17" s="317"/>
      <c r="FW17" s="317"/>
      <c r="FX17" s="317"/>
      <c r="FY17" s="317"/>
      <c r="FZ17" s="317"/>
      <c r="GA17" s="317"/>
      <c r="GB17" s="317"/>
      <c r="GC17" s="317"/>
      <c r="GD17" s="317"/>
      <c r="GE17" s="317"/>
      <c r="GF17" s="317"/>
      <c r="GG17" s="317"/>
      <c r="GH17" s="317"/>
      <c r="GI17" s="317"/>
      <c r="GJ17" s="317"/>
      <c r="GK17" s="317"/>
      <c r="GL17" s="317"/>
      <c r="GM17" s="317"/>
      <c r="GN17" s="317"/>
      <c r="GO17" s="317"/>
      <c r="GP17" s="317"/>
      <c r="GQ17" s="317"/>
      <c r="GR17" s="317"/>
      <c r="GS17" s="317"/>
      <c r="GT17" s="317"/>
      <c r="GU17" s="317"/>
      <c r="GV17" s="317"/>
      <c r="GW17" s="317"/>
      <c r="GX17" s="317"/>
      <c r="GY17" s="317"/>
      <c r="GZ17" s="317"/>
      <c r="HA17" s="317"/>
      <c r="HB17" s="317"/>
      <c r="HC17" s="317"/>
      <c r="HD17" s="317"/>
      <c r="HE17" s="317"/>
      <c r="HF17" s="317"/>
      <c r="HG17" s="317"/>
      <c r="HH17" s="317"/>
      <c r="HI17" s="317"/>
      <c r="HJ17" s="317"/>
      <c r="HK17" s="317"/>
      <c r="HL17" s="317"/>
      <c r="HM17" s="317"/>
      <c r="HN17" s="317"/>
      <c r="HO17" s="317"/>
      <c r="HP17" s="317"/>
      <c r="HQ17" s="317"/>
      <c r="HR17" s="317"/>
      <c r="HS17" s="317"/>
      <c r="HT17" s="317"/>
      <c r="HU17" s="317"/>
      <c r="HV17" s="317"/>
      <c r="HW17" s="317"/>
      <c r="HX17" s="317"/>
      <c r="HY17" s="317"/>
      <c r="HZ17" s="317"/>
      <c r="IA17" s="317"/>
      <c r="IB17" s="317"/>
      <c r="IC17" s="317"/>
      <c r="ID17" s="317"/>
      <c r="IE17" s="317"/>
      <c r="IF17" s="317"/>
      <c r="IG17" s="317"/>
      <c r="IH17" s="317"/>
      <c r="II17" s="317"/>
      <c r="IJ17" s="317"/>
      <c r="IK17" s="317"/>
      <c r="IL17" s="317"/>
      <c r="IM17" s="317"/>
      <c r="IN17" s="317"/>
      <c r="IO17" s="317"/>
      <c r="IP17" s="317"/>
      <c r="IQ17" s="317"/>
      <c r="IR17" s="317"/>
      <c r="IS17" s="317"/>
      <c r="IT17" s="317"/>
      <c r="IU17" s="317"/>
      <c r="IV17" s="317"/>
      <c r="IW17" s="317"/>
      <c r="IX17" s="317"/>
      <c r="IY17" s="317"/>
      <c r="IZ17" s="317"/>
      <c r="JA17" s="317"/>
      <c r="JB17" s="317"/>
      <c r="JC17" s="317"/>
      <c r="JD17" s="317"/>
      <c r="JE17" s="317"/>
      <c r="JF17" s="317"/>
      <c r="JG17" s="317"/>
      <c r="JH17" s="317"/>
      <c r="JI17" s="317"/>
      <c r="JJ17" s="317"/>
      <c r="JK17" s="317"/>
      <c r="JL17" s="317"/>
    </row>
    <row r="18" spans="1:272">
      <c r="A18" s="257"/>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c r="CL18" s="257"/>
      <c r="CM18" s="257"/>
      <c r="CN18" s="257"/>
      <c r="CO18" s="257"/>
      <c r="CP18" s="257"/>
      <c r="CQ18" s="257"/>
      <c r="CR18" s="257"/>
      <c r="CS18" s="257"/>
      <c r="CT18" s="257"/>
      <c r="CU18" s="257"/>
      <c r="CV18" s="257"/>
      <c r="CW18" s="257"/>
      <c r="CX18" s="257"/>
      <c r="CY18" s="257"/>
      <c r="CZ18" s="257"/>
      <c r="DA18" s="257"/>
      <c r="DB18" s="257"/>
      <c r="DC18" s="257"/>
      <c r="DD18" s="257"/>
      <c r="DE18" s="257"/>
      <c r="DF18" s="257"/>
      <c r="DG18" s="257"/>
      <c r="DH18" s="257"/>
      <c r="DI18" s="257"/>
      <c r="DJ18" s="257"/>
      <c r="DK18" s="257"/>
      <c r="DL18" s="257"/>
      <c r="DM18" s="257"/>
      <c r="DN18" s="257"/>
      <c r="DO18" s="257"/>
      <c r="DP18" s="257"/>
      <c r="DQ18" s="257"/>
      <c r="DR18" s="257"/>
      <c r="DS18" s="257"/>
      <c r="DT18" s="257"/>
      <c r="DU18" s="257"/>
      <c r="DV18" s="257"/>
      <c r="DW18" s="257"/>
      <c r="DX18" s="257"/>
      <c r="DY18" s="257"/>
      <c r="DZ18" s="257"/>
      <c r="EA18" s="257"/>
      <c r="EB18" s="257"/>
      <c r="EC18" s="257"/>
      <c r="ED18" s="257"/>
      <c r="EE18" s="257"/>
      <c r="EF18" s="257"/>
      <c r="EG18" s="317"/>
      <c r="EH18" s="317"/>
      <c r="EI18" s="317"/>
      <c r="EJ18" s="317"/>
      <c r="EK18" s="317"/>
      <c r="EL18" s="317"/>
      <c r="EM18" s="317"/>
      <c r="EN18" s="317"/>
      <c r="EO18" s="317"/>
      <c r="EP18" s="317"/>
      <c r="EQ18" s="317"/>
      <c r="ER18" s="317"/>
      <c r="ES18" s="317"/>
      <c r="ET18" s="317"/>
      <c r="EU18" s="317"/>
      <c r="EV18" s="317"/>
      <c r="EW18" s="317"/>
      <c r="EX18" s="317"/>
      <c r="EY18" s="317"/>
      <c r="EZ18" s="317"/>
      <c r="FA18" s="317"/>
      <c r="FB18" s="317"/>
      <c r="FC18" s="317"/>
      <c r="FD18" s="317"/>
      <c r="FE18" s="317"/>
      <c r="FF18" s="317"/>
      <c r="FG18" s="317"/>
      <c r="FH18" s="317"/>
      <c r="FI18" s="317"/>
      <c r="FJ18" s="317"/>
      <c r="FK18" s="317"/>
      <c r="FL18" s="317"/>
      <c r="FM18" s="317"/>
      <c r="FN18" s="317"/>
      <c r="FO18" s="317"/>
      <c r="FP18" s="317"/>
      <c r="FQ18" s="317"/>
      <c r="FR18" s="317"/>
      <c r="FS18" s="317"/>
      <c r="FT18" s="317"/>
      <c r="FU18" s="317"/>
      <c r="FV18" s="317"/>
      <c r="FW18" s="317"/>
      <c r="FX18" s="317"/>
      <c r="FY18" s="317"/>
      <c r="FZ18" s="317"/>
      <c r="GA18" s="317"/>
      <c r="GB18" s="317"/>
      <c r="GC18" s="317"/>
      <c r="GD18" s="317"/>
      <c r="GE18" s="317"/>
      <c r="GF18" s="317"/>
      <c r="GG18" s="317"/>
      <c r="GH18" s="317"/>
      <c r="GI18" s="317"/>
      <c r="GJ18" s="317"/>
      <c r="GK18" s="317"/>
      <c r="GL18" s="317"/>
      <c r="GM18" s="317"/>
      <c r="GN18" s="317"/>
      <c r="GO18" s="317"/>
      <c r="GP18" s="317"/>
      <c r="GQ18" s="317"/>
      <c r="GR18" s="317"/>
      <c r="GS18" s="317"/>
      <c r="GT18" s="317"/>
      <c r="GU18" s="317"/>
      <c r="GV18" s="317"/>
      <c r="GW18" s="317"/>
      <c r="GX18" s="317"/>
      <c r="GY18" s="317"/>
      <c r="GZ18" s="317"/>
      <c r="HA18" s="317"/>
      <c r="HB18" s="317"/>
      <c r="HC18" s="317"/>
      <c r="HD18" s="317"/>
      <c r="HE18" s="317"/>
      <c r="HF18" s="317"/>
      <c r="HG18" s="317"/>
      <c r="HH18" s="317"/>
      <c r="HI18" s="317"/>
      <c r="HJ18" s="317"/>
      <c r="HK18" s="317"/>
      <c r="HL18" s="317"/>
      <c r="HM18" s="317"/>
      <c r="HN18" s="317"/>
      <c r="HO18" s="317"/>
      <c r="HP18" s="317"/>
      <c r="HQ18" s="317"/>
      <c r="HR18" s="317"/>
      <c r="HS18" s="317"/>
      <c r="HT18" s="317"/>
      <c r="HU18" s="317"/>
      <c r="HV18" s="317"/>
      <c r="HW18" s="317"/>
      <c r="HX18" s="317"/>
      <c r="HY18" s="317"/>
      <c r="HZ18" s="317"/>
      <c r="IA18" s="317"/>
      <c r="IB18" s="317"/>
      <c r="IC18" s="317"/>
      <c r="ID18" s="317"/>
      <c r="IE18" s="317"/>
      <c r="IF18" s="317"/>
      <c r="IG18" s="317"/>
      <c r="IH18" s="317"/>
      <c r="II18" s="317"/>
      <c r="IJ18" s="317"/>
      <c r="IK18" s="317"/>
      <c r="IL18" s="317"/>
      <c r="IM18" s="317"/>
      <c r="IN18" s="317"/>
      <c r="IO18" s="317"/>
      <c r="IP18" s="317"/>
      <c r="IQ18" s="317"/>
      <c r="IR18" s="317"/>
      <c r="IS18" s="317"/>
      <c r="IT18" s="317"/>
      <c r="IU18" s="317"/>
      <c r="IV18" s="317"/>
      <c r="IW18" s="317"/>
      <c r="IX18" s="317"/>
      <c r="IY18" s="317"/>
      <c r="IZ18" s="317"/>
      <c r="JA18" s="317"/>
      <c r="JB18" s="317"/>
      <c r="JC18" s="317"/>
      <c r="JD18" s="317"/>
      <c r="JE18" s="317"/>
      <c r="JF18" s="317"/>
      <c r="JG18" s="317"/>
      <c r="JH18" s="317"/>
      <c r="JI18" s="317"/>
      <c r="JJ18" s="317"/>
      <c r="JK18" s="317"/>
      <c r="JL18" s="317"/>
    </row>
    <row r="19" spans="1:272">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257"/>
      <c r="BY19" s="257"/>
      <c r="BZ19" s="257"/>
      <c r="CA19" s="257"/>
      <c r="CB19" s="257"/>
      <c r="CC19" s="257"/>
      <c r="CD19" s="257"/>
      <c r="CE19" s="257"/>
      <c r="CF19" s="257"/>
      <c r="CG19" s="257"/>
      <c r="CH19" s="257"/>
      <c r="CI19" s="257"/>
      <c r="CJ19" s="257"/>
      <c r="CK19" s="257"/>
      <c r="CL19" s="257"/>
      <c r="CM19" s="257"/>
      <c r="CN19" s="257"/>
      <c r="CO19" s="257"/>
      <c r="CP19" s="257"/>
      <c r="CQ19" s="257"/>
      <c r="CR19" s="257"/>
      <c r="CS19" s="257"/>
      <c r="CT19" s="257"/>
      <c r="CU19" s="257"/>
      <c r="CV19" s="257"/>
      <c r="CW19" s="257"/>
      <c r="CX19" s="257"/>
      <c r="CY19" s="257"/>
      <c r="CZ19" s="257"/>
      <c r="DA19" s="257"/>
      <c r="DB19" s="257"/>
      <c r="DC19" s="257"/>
      <c r="DD19" s="257"/>
      <c r="DE19" s="257"/>
      <c r="DF19" s="257"/>
      <c r="DG19" s="257"/>
      <c r="DH19" s="257"/>
      <c r="DI19" s="257"/>
      <c r="DJ19" s="257"/>
      <c r="DK19" s="257"/>
      <c r="DL19" s="257"/>
      <c r="DM19" s="257"/>
      <c r="DN19" s="257"/>
      <c r="DO19" s="257"/>
      <c r="DP19" s="257"/>
      <c r="DQ19" s="257"/>
      <c r="DR19" s="257"/>
      <c r="DS19" s="257"/>
      <c r="DT19" s="257"/>
      <c r="DU19" s="257"/>
      <c r="DV19" s="257"/>
      <c r="DW19" s="257"/>
      <c r="DX19" s="257"/>
      <c r="DY19" s="257"/>
      <c r="DZ19" s="257"/>
      <c r="EA19" s="257"/>
      <c r="EB19" s="257"/>
      <c r="EC19" s="257"/>
      <c r="ED19" s="257"/>
      <c r="EE19" s="257"/>
      <c r="EF19" s="257"/>
      <c r="EG19" s="317"/>
      <c r="EH19" s="317"/>
      <c r="EI19" s="317"/>
      <c r="EJ19" s="317"/>
      <c r="EK19" s="317"/>
      <c r="EL19" s="317"/>
      <c r="EM19" s="317"/>
      <c r="EN19" s="317"/>
      <c r="EO19" s="317"/>
      <c r="EP19" s="317"/>
      <c r="EQ19" s="317"/>
      <c r="ER19" s="317"/>
      <c r="ES19" s="317"/>
      <c r="ET19" s="317"/>
      <c r="EU19" s="317"/>
      <c r="EV19" s="317"/>
      <c r="EW19" s="317"/>
      <c r="EX19" s="317"/>
      <c r="EY19" s="317"/>
      <c r="EZ19" s="317"/>
      <c r="FA19" s="317"/>
      <c r="FB19" s="317"/>
      <c r="FC19" s="317"/>
      <c r="FD19" s="317"/>
      <c r="FE19" s="317"/>
      <c r="FF19" s="317"/>
      <c r="FG19" s="317"/>
      <c r="FH19" s="317"/>
      <c r="FI19" s="317"/>
      <c r="FJ19" s="317"/>
      <c r="FK19" s="317"/>
      <c r="FL19" s="317"/>
      <c r="FM19" s="317"/>
      <c r="FN19" s="317"/>
      <c r="FO19" s="317"/>
      <c r="FP19" s="317"/>
      <c r="FQ19" s="317"/>
      <c r="FR19" s="317"/>
      <c r="FS19" s="317"/>
      <c r="FT19" s="317"/>
      <c r="FU19" s="317"/>
      <c r="FV19" s="317"/>
      <c r="FW19" s="317"/>
      <c r="FX19" s="317"/>
      <c r="FY19" s="317"/>
      <c r="FZ19" s="317"/>
      <c r="GA19" s="317"/>
      <c r="GB19" s="317"/>
      <c r="GC19" s="317"/>
      <c r="GD19" s="317"/>
      <c r="GE19" s="317"/>
      <c r="GF19" s="317"/>
      <c r="GG19" s="317"/>
      <c r="GH19" s="317"/>
      <c r="GI19" s="317"/>
      <c r="GJ19" s="317"/>
      <c r="GK19" s="317"/>
      <c r="GL19" s="317"/>
      <c r="GM19" s="317"/>
      <c r="GN19" s="317"/>
      <c r="GO19" s="317"/>
      <c r="GP19" s="317"/>
      <c r="GQ19" s="317"/>
      <c r="GR19" s="317"/>
      <c r="GS19" s="317"/>
      <c r="GT19" s="317"/>
      <c r="GU19" s="317"/>
      <c r="GV19" s="317"/>
      <c r="GW19" s="317"/>
      <c r="GX19" s="317"/>
      <c r="GY19" s="317"/>
      <c r="GZ19" s="317"/>
      <c r="HA19" s="317"/>
      <c r="HB19" s="317"/>
      <c r="HC19" s="317"/>
      <c r="HD19" s="317"/>
      <c r="HE19" s="317"/>
      <c r="HF19" s="317"/>
      <c r="HG19" s="317"/>
      <c r="HH19" s="317"/>
      <c r="HI19" s="317"/>
      <c r="HJ19" s="317"/>
      <c r="HK19" s="317"/>
      <c r="HL19" s="317"/>
      <c r="HM19" s="317"/>
      <c r="HN19" s="317"/>
      <c r="HO19" s="317"/>
      <c r="HP19" s="317"/>
      <c r="HQ19" s="317"/>
      <c r="HR19" s="317"/>
      <c r="HS19" s="317"/>
      <c r="HT19" s="317"/>
      <c r="HU19" s="317"/>
      <c r="HV19" s="317"/>
      <c r="HW19" s="317"/>
      <c r="HX19" s="317"/>
      <c r="HY19" s="317"/>
      <c r="HZ19" s="317"/>
      <c r="IA19" s="317"/>
      <c r="IB19" s="317"/>
      <c r="IC19" s="317"/>
      <c r="ID19" s="317"/>
      <c r="IE19" s="317"/>
      <c r="IF19" s="317"/>
      <c r="IG19" s="317"/>
      <c r="IH19" s="317"/>
      <c r="II19" s="317"/>
      <c r="IJ19" s="317"/>
      <c r="IK19" s="317"/>
      <c r="IL19" s="317"/>
      <c r="IM19" s="317"/>
      <c r="IN19" s="317"/>
      <c r="IO19" s="317"/>
      <c r="IP19" s="317"/>
      <c r="IQ19" s="317"/>
      <c r="IR19" s="317"/>
      <c r="IS19" s="317"/>
      <c r="IT19" s="317"/>
      <c r="IU19" s="317"/>
      <c r="IV19" s="317"/>
      <c r="IW19" s="317"/>
      <c r="IX19" s="317"/>
      <c r="IY19" s="317"/>
      <c r="IZ19" s="317"/>
      <c r="JA19" s="317"/>
      <c r="JB19" s="317"/>
      <c r="JC19" s="317"/>
      <c r="JD19" s="317"/>
      <c r="JE19" s="317"/>
      <c r="JF19" s="317"/>
      <c r="JG19" s="317"/>
      <c r="JH19" s="317"/>
      <c r="JI19" s="317"/>
      <c r="JJ19" s="317"/>
      <c r="JK19" s="317"/>
      <c r="JL19" s="317"/>
    </row>
    <row r="20" spans="1:272">
      <c r="A20" s="257"/>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7"/>
      <c r="BZ20" s="257"/>
      <c r="CA20" s="257"/>
      <c r="CB20" s="257"/>
      <c r="CC20" s="257"/>
      <c r="CD20" s="257"/>
      <c r="CE20" s="257"/>
      <c r="CF20" s="257"/>
      <c r="CG20" s="257"/>
      <c r="CH20" s="257"/>
      <c r="CI20" s="257"/>
      <c r="CJ20" s="257"/>
      <c r="CK20" s="257"/>
      <c r="CL20" s="257"/>
      <c r="CM20" s="257"/>
      <c r="CN20" s="257"/>
      <c r="CO20" s="257"/>
      <c r="CP20" s="257"/>
      <c r="CQ20" s="257"/>
      <c r="CR20" s="257"/>
      <c r="CS20" s="257"/>
      <c r="CT20" s="257"/>
      <c r="CU20" s="257"/>
      <c r="CV20" s="257"/>
      <c r="CW20" s="257"/>
      <c r="CX20" s="257"/>
      <c r="CY20" s="257"/>
      <c r="CZ20" s="257"/>
      <c r="DA20" s="257"/>
      <c r="DB20" s="257"/>
      <c r="DC20" s="257"/>
      <c r="DD20" s="257"/>
      <c r="DE20" s="257"/>
      <c r="DF20" s="257"/>
      <c r="DG20" s="257"/>
      <c r="DH20" s="257"/>
      <c r="DI20" s="257"/>
      <c r="DJ20" s="257"/>
      <c r="DK20" s="257"/>
      <c r="DL20" s="257"/>
      <c r="DM20" s="257"/>
      <c r="DN20" s="257"/>
      <c r="DO20" s="257"/>
      <c r="DP20" s="257"/>
      <c r="DQ20" s="257"/>
      <c r="DR20" s="257"/>
      <c r="DS20" s="257"/>
      <c r="DT20" s="257"/>
      <c r="DU20" s="257"/>
      <c r="DV20" s="257"/>
      <c r="DW20" s="257"/>
      <c r="DX20" s="257"/>
      <c r="DY20" s="257"/>
      <c r="DZ20" s="257"/>
      <c r="EA20" s="257"/>
      <c r="EB20" s="257"/>
      <c r="EC20" s="257"/>
      <c r="ED20" s="257"/>
      <c r="EE20" s="257"/>
      <c r="EF20" s="257"/>
      <c r="EG20" s="317"/>
      <c r="EH20" s="317"/>
      <c r="EI20" s="317"/>
      <c r="EJ20" s="317"/>
      <c r="EK20" s="317"/>
      <c r="EL20" s="317"/>
      <c r="EM20" s="317"/>
      <c r="EN20" s="317"/>
      <c r="EO20" s="317"/>
      <c r="EP20" s="317"/>
      <c r="EQ20" s="317"/>
      <c r="ER20" s="317"/>
      <c r="ES20" s="317"/>
      <c r="ET20" s="317"/>
      <c r="EU20" s="317"/>
      <c r="EV20" s="317"/>
      <c r="EW20" s="317"/>
      <c r="EX20" s="317"/>
      <c r="EY20" s="317"/>
      <c r="EZ20" s="317"/>
      <c r="FA20" s="317"/>
      <c r="FB20" s="317"/>
      <c r="FC20" s="317"/>
      <c r="FD20" s="317"/>
      <c r="FE20" s="317"/>
      <c r="FF20" s="317"/>
      <c r="FG20" s="317"/>
      <c r="FH20" s="317"/>
      <c r="FI20" s="317"/>
      <c r="FJ20" s="317"/>
      <c r="FK20" s="317"/>
      <c r="FL20" s="317"/>
      <c r="FM20" s="317"/>
      <c r="FN20" s="317"/>
      <c r="FO20" s="317"/>
      <c r="FP20" s="317"/>
      <c r="FQ20" s="317"/>
      <c r="FR20" s="317"/>
      <c r="FS20" s="317"/>
      <c r="FT20" s="317"/>
      <c r="FU20" s="317"/>
      <c r="FV20" s="317"/>
      <c r="FW20" s="317"/>
      <c r="FX20" s="317"/>
      <c r="FY20" s="317"/>
      <c r="FZ20" s="317"/>
      <c r="GA20" s="317"/>
      <c r="GB20" s="317"/>
      <c r="GC20" s="317"/>
      <c r="GD20" s="317"/>
      <c r="GE20" s="317"/>
      <c r="GF20" s="317"/>
      <c r="GG20" s="317"/>
      <c r="GH20" s="317"/>
      <c r="GI20" s="317"/>
      <c r="GJ20" s="317"/>
      <c r="GK20" s="317"/>
      <c r="GL20" s="317"/>
      <c r="GM20" s="317"/>
      <c r="GN20" s="317"/>
      <c r="GO20" s="317"/>
      <c r="GP20" s="317"/>
      <c r="GQ20" s="317"/>
      <c r="GR20" s="317"/>
      <c r="GS20" s="317"/>
      <c r="GT20" s="317"/>
      <c r="GU20" s="317"/>
      <c r="GV20" s="317"/>
      <c r="GW20" s="317"/>
      <c r="GX20" s="317"/>
      <c r="GY20" s="317"/>
      <c r="GZ20" s="317"/>
      <c r="HA20" s="317"/>
      <c r="HB20" s="317"/>
      <c r="HC20" s="317"/>
      <c r="HD20" s="317"/>
      <c r="HE20" s="317"/>
      <c r="HF20" s="317"/>
      <c r="HG20" s="317"/>
      <c r="HH20" s="317"/>
      <c r="HI20" s="317"/>
      <c r="HJ20" s="317"/>
      <c r="HK20" s="317"/>
      <c r="HL20" s="317"/>
      <c r="HM20" s="317"/>
      <c r="HN20" s="317"/>
      <c r="HO20" s="317"/>
      <c r="HP20" s="317"/>
      <c r="HQ20" s="317"/>
      <c r="HR20" s="317"/>
      <c r="HS20" s="317"/>
      <c r="HT20" s="317"/>
      <c r="HU20" s="317"/>
      <c r="HV20" s="317"/>
      <c r="HW20" s="317"/>
      <c r="HX20" s="317"/>
      <c r="HY20" s="317"/>
      <c r="HZ20" s="317"/>
      <c r="IA20" s="317"/>
      <c r="IB20" s="317"/>
      <c r="IC20" s="317"/>
      <c r="ID20" s="317"/>
      <c r="IE20" s="317"/>
      <c r="IF20" s="317"/>
      <c r="IG20" s="317"/>
      <c r="IH20" s="317"/>
      <c r="II20" s="317"/>
      <c r="IJ20" s="317"/>
      <c r="IK20" s="317"/>
      <c r="IL20" s="317"/>
      <c r="IM20" s="317"/>
      <c r="IN20" s="317"/>
      <c r="IO20" s="317"/>
      <c r="IP20" s="317"/>
      <c r="IQ20" s="317"/>
      <c r="IR20" s="317"/>
      <c r="IS20" s="317"/>
      <c r="IT20" s="317"/>
      <c r="IU20" s="317"/>
      <c r="IV20" s="317"/>
      <c r="IW20" s="317"/>
      <c r="IX20" s="317"/>
      <c r="IY20" s="317"/>
      <c r="IZ20" s="317"/>
      <c r="JA20" s="317"/>
      <c r="JB20" s="317"/>
      <c r="JC20" s="317"/>
      <c r="JD20" s="317"/>
      <c r="JE20" s="317"/>
      <c r="JF20" s="317"/>
      <c r="JG20" s="317"/>
      <c r="JH20" s="317"/>
      <c r="JI20" s="317"/>
      <c r="JJ20" s="317"/>
      <c r="JK20" s="317"/>
      <c r="JL20" s="317"/>
    </row>
    <row r="21" spans="1:272">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c r="CW21" s="257"/>
      <c r="CX21" s="257"/>
      <c r="CY21" s="257"/>
      <c r="CZ21" s="257"/>
      <c r="DA21" s="257"/>
      <c r="DB21" s="257"/>
      <c r="DC21" s="257"/>
      <c r="DD21" s="257"/>
      <c r="DE21" s="257"/>
      <c r="DF21" s="257"/>
      <c r="DG21" s="257"/>
      <c r="DH21" s="257"/>
      <c r="DI21" s="257"/>
      <c r="DJ21" s="257"/>
      <c r="DK21" s="257"/>
      <c r="DL21" s="257"/>
      <c r="DM21" s="257"/>
      <c r="DN21" s="257"/>
      <c r="DO21" s="257"/>
      <c r="DP21" s="257"/>
      <c r="DQ21" s="257"/>
      <c r="DR21" s="257"/>
      <c r="DS21" s="257"/>
      <c r="DT21" s="257"/>
      <c r="DU21" s="257"/>
      <c r="DV21" s="257"/>
      <c r="DW21" s="257"/>
      <c r="DX21" s="257"/>
      <c r="DY21" s="257"/>
      <c r="DZ21" s="257"/>
      <c r="EA21" s="257"/>
      <c r="EB21" s="257"/>
      <c r="EC21" s="257"/>
      <c r="ED21" s="257"/>
      <c r="EE21" s="257"/>
      <c r="EF21" s="257"/>
      <c r="EG21" s="317"/>
      <c r="EH21" s="317"/>
      <c r="EI21" s="317"/>
      <c r="EJ21" s="317"/>
      <c r="EK21" s="317"/>
      <c r="EL21" s="317"/>
      <c r="EM21" s="317"/>
      <c r="EN21" s="317"/>
      <c r="EO21" s="317"/>
      <c r="EP21" s="317"/>
      <c r="EQ21" s="317"/>
      <c r="ER21" s="317"/>
      <c r="ES21" s="317"/>
      <c r="ET21" s="317"/>
      <c r="EU21" s="317"/>
      <c r="EV21" s="317"/>
      <c r="EW21" s="317"/>
      <c r="EX21" s="317"/>
      <c r="EY21" s="317"/>
      <c r="EZ21" s="317"/>
      <c r="FA21" s="317"/>
      <c r="FB21" s="317"/>
      <c r="FC21" s="317"/>
      <c r="FD21" s="317"/>
      <c r="FE21" s="317"/>
      <c r="FF21" s="317"/>
      <c r="FG21" s="317"/>
      <c r="FH21" s="317"/>
      <c r="FI21" s="317"/>
      <c r="FJ21" s="317"/>
      <c r="FK21" s="317"/>
      <c r="FL21" s="317"/>
      <c r="FM21" s="317"/>
      <c r="FN21" s="317"/>
      <c r="FO21" s="317"/>
      <c r="FP21" s="317"/>
      <c r="FQ21" s="317"/>
      <c r="FR21" s="317"/>
      <c r="FS21" s="317"/>
      <c r="FT21" s="317"/>
      <c r="FU21" s="317"/>
      <c r="FV21" s="317"/>
      <c r="FW21" s="317"/>
      <c r="FX21" s="317"/>
      <c r="FY21" s="317"/>
      <c r="FZ21" s="317"/>
      <c r="GA21" s="317"/>
      <c r="GB21" s="317"/>
      <c r="GC21" s="317"/>
      <c r="GD21" s="317"/>
      <c r="GE21" s="317"/>
      <c r="GF21" s="317"/>
      <c r="GG21" s="317"/>
      <c r="GH21" s="317"/>
      <c r="GI21" s="317"/>
      <c r="GJ21" s="317"/>
      <c r="GK21" s="317"/>
      <c r="GL21" s="317"/>
      <c r="GM21" s="317"/>
      <c r="GN21" s="317"/>
      <c r="GO21" s="317"/>
      <c r="GP21" s="317"/>
      <c r="GQ21" s="317"/>
      <c r="GR21" s="317"/>
      <c r="GS21" s="317"/>
      <c r="GT21" s="317"/>
      <c r="GU21" s="317"/>
      <c r="GV21" s="317"/>
      <c r="GW21" s="317"/>
      <c r="GX21" s="317"/>
      <c r="GY21" s="317"/>
      <c r="GZ21" s="317"/>
      <c r="HA21" s="317"/>
      <c r="HB21" s="317"/>
      <c r="HC21" s="317"/>
      <c r="HD21" s="317"/>
      <c r="HE21" s="317"/>
      <c r="HF21" s="317"/>
      <c r="HG21" s="317"/>
      <c r="HH21" s="317"/>
      <c r="HI21" s="317"/>
      <c r="HJ21" s="317"/>
      <c r="HK21" s="317"/>
      <c r="HL21" s="317"/>
      <c r="HM21" s="317"/>
      <c r="HN21" s="317"/>
      <c r="HO21" s="317"/>
      <c r="HP21" s="317"/>
      <c r="HQ21" s="317"/>
      <c r="HR21" s="317"/>
      <c r="HS21" s="317"/>
      <c r="HT21" s="317"/>
      <c r="HU21" s="317"/>
      <c r="HV21" s="317"/>
      <c r="HW21" s="317"/>
      <c r="HX21" s="317"/>
      <c r="HY21" s="317"/>
      <c r="HZ21" s="317"/>
      <c r="IA21" s="317"/>
      <c r="IB21" s="317"/>
      <c r="IC21" s="317"/>
      <c r="ID21" s="317"/>
      <c r="IE21" s="317"/>
      <c r="IF21" s="317"/>
      <c r="IG21" s="317"/>
      <c r="IH21" s="317"/>
      <c r="II21" s="317"/>
      <c r="IJ21" s="317"/>
      <c r="IK21" s="317"/>
      <c r="IL21" s="317"/>
      <c r="IM21" s="317"/>
      <c r="IN21" s="317"/>
      <c r="IO21" s="317"/>
      <c r="IP21" s="317"/>
      <c r="IQ21" s="317"/>
      <c r="IR21" s="317"/>
      <c r="IS21" s="317"/>
      <c r="IT21" s="317"/>
      <c r="IU21" s="317"/>
      <c r="IV21" s="317"/>
      <c r="IW21" s="317"/>
      <c r="IX21" s="317"/>
      <c r="IY21" s="317"/>
      <c r="IZ21" s="317"/>
      <c r="JA21" s="317"/>
      <c r="JB21" s="317"/>
      <c r="JC21" s="317"/>
      <c r="JD21" s="317"/>
      <c r="JE21" s="317"/>
      <c r="JF21" s="317"/>
      <c r="JG21" s="317"/>
      <c r="JH21" s="317"/>
      <c r="JI21" s="317"/>
      <c r="JJ21" s="317"/>
      <c r="JK21" s="317"/>
      <c r="JL21" s="317"/>
    </row>
    <row r="22" spans="1:272">
      <c r="A22" s="257"/>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7"/>
      <c r="DS22" s="257"/>
      <c r="DT22" s="257"/>
      <c r="DU22" s="257"/>
      <c r="DV22" s="257"/>
      <c r="DW22" s="257"/>
      <c r="DX22" s="257"/>
      <c r="DY22" s="257"/>
      <c r="DZ22" s="257"/>
      <c r="EA22" s="257"/>
      <c r="EB22" s="257"/>
      <c r="EC22" s="257"/>
      <c r="ED22" s="257"/>
      <c r="EE22" s="257"/>
      <c r="EF22" s="257"/>
      <c r="EG22" s="317"/>
      <c r="EH22" s="317"/>
      <c r="EI22" s="317"/>
      <c r="EJ22" s="317"/>
      <c r="EK22" s="317"/>
      <c r="EL22" s="317"/>
      <c r="EM22" s="317"/>
      <c r="EN22" s="317"/>
      <c r="EO22" s="317"/>
      <c r="EP22" s="317"/>
      <c r="EQ22" s="317"/>
      <c r="ER22" s="317"/>
      <c r="ES22" s="317"/>
      <c r="ET22" s="317"/>
      <c r="EU22" s="317"/>
      <c r="EV22" s="317"/>
      <c r="EW22" s="317"/>
      <c r="EX22" s="317"/>
      <c r="EY22" s="317"/>
      <c r="EZ22" s="317"/>
      <c r="FA22" s="317"/>
      <c r="FB22" s="317"/>
      <c r="FC22" s="317"/>
      <c r="FD22" s="317"/>
      <c r="FE22" s="317"/>
      <c r="FF22" s="317"/>
      <c r="FG22" s="317"/>
      <c r="FH22" s="317"/>
      <c r="FI22" s="317"/>
      <c r="FJ22" s="317"/>
      <c r="FK22" s="317"/>
      <c r="FL22" s="317"/>
      <c r="FM22" s="317"/>
      <c r="FN22" s="317"/>
      <c r="FO22" s="317"/>
      <c r="FP22" s="317"/>
      <c r="FQ22" s="317"/>
      <c r="FR22" s="317"/>
      <c r="FS22" s="317"/>
      <c r="FT22" s="317"/>
      <c r="FU22" s="317"/>
      <c r="FV22" s="317"/>
      <c r="FW22" s="317"/>
      <c r="FX22" s="317"/>
      <c r="FY22" s="317"/>
      <c r="FZ22" s="317"/>
      <c r="GA22" s="317"/>
      <c r="GB22" s="317"/>
      <c r="GC22" s="317"/>
      <c r="GD22" s="317"/>
      <c r="GE22" s="317"/>
      <c r="GF22" s="317"/>
      <c r="GG22" s="317"/>
      <c r="GH22" s="317"/>
      <c r="GI22" s="317"/>
      <c r="GJ22" s="317"/>
      <c r="GK22" s="317"/>
      <c r="GL22" s="317"/>
      <c r="GM22" s="317"/>
      <c r="GN22" s="317"/>
      <c r="GO22" s="317"/>
      <c r="GP22" s="317"/>
      <c r="GQ22" s="317"/>
      <c r="GR22" s="317"/>
      <c r="GS22" s="317"/>
      <c r="GT22" s="317"/>
      <c r="GU22" s="317"/>
      <c r="GV22" s="317"/>
      <c r="GW22" s="317"/>
      <c r="GX22" s="317"/>
      <c r="GY22" s="317"/>
      <c r="GZ22" s="317"/>
      <c r="HA22" s="317"/>
      <c r="HB22" s="317"/>
      <c r="HC22" s="317"/>
      <c r="HD22" s="317"/>
      <c r="HE22" s="317"/>
      <c r="HF22" s="317"/>
      <c r="HG22" s="317"/>
      <c r="HH22" s="317"/>
      <c r="HI22" s="317"/>
      <c r="HJ22" s="317"/>
      <c r="HK22" s="317"/>
      <c r="HL22" s="317"/>
      <c r="HM22" s="317"/>
      <c r="HN22" s="317"/>
      <c r="HO22" s="317"/>
      <c r="HP22" s="317"/>
      <c r="HQ22" s="317"/>
      <c r="HR22" s="317"/>
      <c r="HS22" s="317"/>
      <c r="HT22" s="317"/>
      <c r="HU22" s="317"/>
      <c r="HV22" s="317"/>
      <c r="HW22" s="317"/>
      <c r="HX22" s="317"/>
      <c r="HY22" s="317"/>
      <c r="HZ22" s="317"/>
      <c r="IA22" s="317"/>
      <c r="IB22" s="317"/>
      <c r="IC22" s="317"/>
      <c r="ID22" s="317"/>
      <c r="IE22" s="317"/>
      <c r="IF22" s="317"/>
      <c r="IG22" s="317"/>
      <c r="IH22" s="317"/>
      <c r="II22" s="317"/>
      <c r="IJ22" s="317"/>
      <c r="IK22" s="317"/>
      <c r="IL22" s="317"/>
      <c r="IM22" s="317"/>
      <c r="IN22" s="317"/>
      <c r="IO22" s="317"/>
      <c r="IP22" s="317"/>
      <c r="IQ22" s="317"/>
      <c r="IR22" s="317"/>
      <c r="IS22" s="317"/>
      <c r="IT22" s="317"/>
      <c r="IU22" s="317"/>
      <c r="IV22" s="317"/>
      <c r="IW22" s="317"/>
      <c r="IX22" s="317"/>
      <c r="IY22" s="317"/>
      <c r="IZ22" s="317"/>
      <c r="JA22" s="317"/>
      <c r="JB22" s="317"/>
      <c r="JC22" s="317"/>
      <c r="JD22" s="317"/>
      <c r="JE22" s="317"/>
      <c r="JF22" s="317"/>
      <c r="JG22" s="317"/>
      <c r="JH22" s="317"/>
      <c r="JI22" s="317"/>
      <c r="JJ22" s="317"/>
      <c r="JK22" s="317"/>
      <c r="JL22" s="317"/>
    </row>
    <row r="23" spans="1:272">
      <c r="A23" s="257"/>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257"/>
      <c r="CA23" s="257"/>
      <c r="CB23" s="257"/>
      <c r="CC23" s="257"/>
      <c r="CD23" s="257"/>
      <c r="CE23" s="257"/>
      <c r="CF23" s="257"/>
      <c r="CG23" s="257"/>
      <c r="CH23" s="257"/>
      <c r="CI23" s="257"/>
      <c r="CJ23" s="257"/>
      <c r="CK23" s="257"/>
      <c r="CL23" s="257"/>
      <c r="CM23" s="257"/>
      <c r="CN23" s="257"/>
      <c r="CO23" s="257"/>
      <c r="CP23" s="257"/>
      <c r="CQ23" s="257"/>
      <c r="CR23" s="257"/>
      <c r="CS23" s="257"/>
      <c r="CT23" s="257"/>
      <c r="CU23" s="257"/>
      <c r="CV23" s="257"/>
      <c r="CW23" s="257"/>
      <c r="CX23" s="257"/>
      <c r="CY23" s="257"/>
      <c r="CZ23" s="257"/>
      <c r="DA23" s="257"/>
      <c r="DB23" s="257"/>
      <c r="DC23" s="257"/>
      <c r="DD23" s="257"/>
      <c r="DE23" s="257"/>
      <c r="DF23" s="257"/>
      <c r="DG23" s="257"/>
      <c r="DH23" s="257"/>
      <c r="DI23" s="257"/>
      <c r="DJ23" s="257"/>
      <c r="DK23" s="257"/>
      <c r="DL23" s="257"/>
      <c r="DM23" s="257"/>
      <c r="DN23" s="257"/>
      <c r="DO23" s="257"/>
      <c r="DP23" s="257"/>
      <c r="DQ23" s="257"/>
      <c r="DR23" s="257"/>
      <c r="DS23" s="257"/>
      <c r="DT23" s="257"/>
      <c r="DU23" s="257"/>
      <c r="DV23" s="257"/>
      <c r="DW23" s="257"/>
      <c r="DX23" s="257"/>
      <c r="DY23" s="257"/>
      <c r="DZ23" s="257"/>
      <c r="EA23" s="257"/>
      <c r="EB23" s="257"/>
      <c r="EC23" s="257"/>
      <c r="ED23" s="257"/>
      <c r="EE23" s="257"/>
      <c r="EF23" s="257"/>
      <c r="EG23" s="317"/>
      <c r="EH23" s="317"/>
      <c r="EI23" s="317"/>
      <c r="EJ23" s="317"/>
      <c r="EK23" s="317"/>
      <c r="EL23" s="317"/>
      <c r="EM23" s="317"/>
      <c r="EN23" s="317"/>
      <c r="EO23" s="317"/>
      <c r="EP23" s="317"/>
      <c r="EQ23" s="317"/>
      <c r="ER23" s="317"/>
      <c r="ES23" s="317"/>
      <c r="ET23" s="317"/>
      <c r="EU23" s="317"/>
      <c r="EV23" s="317"/>
      <c r="EW23" s="317"/>
      <c r="EX23" s="317"/>
      <c r="EY23" s="317"/>
      <c r="EZ23" s="317"/>
      <c r="FA23" s="317"/>
      <c r="FB23" s="317"/>
      <c r="FC23" s="317"/>
      <c r="FD23" s="317"/>
      <c r="FE23" s="317"/>
      <c r="FF23" s="317"/>
      <c r="FG23" s="317"/>
      <c r="FH23" s="317"/>
      <c r="FI23" s="317"/>
      <c r="FJ23" s="317"/>
      <c r="FK23" s="317"/>
      <c r="FL23" s="317"/>
      <c r="FM23" s="317"/>
      <c r="FN23" s="317"/>
      <c r="FO23" s="317"/>
      <c r="FP23" s="317"/>
      <c r="FQ23" s="317"/>
      <c r="FR23" s="317"/>
      <c r="FS23" s="317"/>
      <c r="FT23" s="317"/>
      <c r="FU23" s="317"/>
      <c r="FV23" s="317"/>
      <c r="FW23" s="317"/>
      <c r="FX23" s="317"/>
      <c r="FY23" s="317"/>
      <c r="FZ23" s="317"/>
      <c r="GA23" s="317"/>
      <c r="GB23" s="317"/>
      <c r="GC23" s="317"/>
      <c r="GD23" s="317"/>
      <c r="GE23" s="317"/>
      <c r="GF23" s="317"/>
      <c r="GG23" s="317"/>
      <c r="GH23" s="317"/>
      <c r="GI23" s="317"/>
      <c r="GJ23" s="317"/>
      <c r="GK23" s="317"/>
      <c r="GL23" s="317"/>
      <c r="GM23" s="317"/>
      <c r="GN23" s="317"/>
      <c r="GO23" s="317"/>
      <c r="GP23" s="317"/>
      <c r="GQ23" s="317"/>
      <c r="GR23" s="317"/>
      <c r="GS23" s="317"/>
      <c r="GT23" s="317"/>
      <c r="GU23" s="317"/>
      <c r="GV23" s="317"/>
      <c r="GW23" s="317"/>
      <c r="GX23" s="317"/>
      <c r="GY23" s="317"/>
      <c r="GZ23" s="317"/>
      <c r="HA23" s="317"/>
      <c r="HB23" s="317"/>
      <c r="HC23" s="317"/>
      <c r="HD23" s="317"/>
      <c r="HE23" s="317"/>
      <c r="HF23" s="317"/>
      <c r="HG23" s="317"/>
      <c r="HH23" s="317"/>
      <c r="HI23" s="317"/>
      <c r="HJ23" s="317"/>
      <c r="HK23" s="317"/>
      <c r="HL23" s="317"/>
      <c r="HM23" s="317"/>
      <c r="HN23" s="317"/>
      <c r="HO23" s="317"/>
      <c r="HP23" s="317"/>
      <c r="HQ23" s="317"/>
      <c r="HR23" s="317"/>
      <c r="HS23" s="317"/>
      <c r="HT23" s="317"/>
      <c r="HU23" s="317"/>
      <c r="HV23" s="317"/>
      <c r="HW23" s="317"/>
      <c r="HX23" s="317"/>
      <c r="HY23" s="317"/>
      <c r="HZ23" s="317"/>
      <c r="IA23" s="317"/>
      <c r="IB23" s="317"/>
      <c r="IC23" s="317"/>
      <c r="ID23" s="317"/>
      <c r="IE23" s="317"/>
      <c r="IF23" s="317"/>
      <c r="IG23" s="317"/>
      <c r="IH23" s="317"/>
      <c r="II23" s="317"/>
      <c r="IJ23" s="317"/>
      <c r="IK23" s="317"/>
      <c r="IL23" s="317"/>
      <c r="IM23" s="317"/>
      <c r="IN23" s="317"/>
      <c r="IO23" s="317"/>
      <c r="IP23" s="317"/>
      <c r="IQ23" s="317"/>
      <c r="IR23" s="317"/>
      <c r="IS23" s="317"/>
      <c r="IT23" s="317"/>
      <c r="IU23" s="317"/>
      <c r="IV23" s="317"/>
      <c r="IW23" s="317"/>
      <c r="IX23" s="317"/>
      <c r="IY23" s="317"/>
      <c r="IZ23" s="317"/>
      <c r="JA23" s="317"/>
      <c r="JB23" s="317"/>
      <c r="JC23" s="317"/>
      <c r="JD23" s="317"/>
      <c r="JE23" s="317"/>
      <c r="JF23" s="317"/>
      <c r="JG23" s="317"/>
      <c r="JH23" s="317"/>
      <c r="JI23" s="317"/>
      <c r="JJ23" s="317"/>
      <c r="JK23" s="317"/>
      <c r="JL23" s="317"/>
    </row>
    <row r="24" spans="1:272">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57"/>
      <c r="CQ24" s="257"/>
      <c r="CR24" s="257"/>
      <c r="CS24" s="257"/>
      <c r="CT24" s="257"/>
      <c r="CU24" s="257"/>
      <c r="CV24" s="257"/>
      <c r="CW24" s="257"/>
      <c r="CX24" s="257"/>
      <c r="CY24" s="257"/>
      <c r="CZ24" s="257"/>
      <c r="DA24" s="257"/>
      <c r="DB24" s="257"/>
      <c r="DC24" s="257"/>
      <c r="DD24" s="257"/>
      <c r="DE24" s="257"/>
      <c r="DF24" s="257"/>
      <c r="DG24" s="257"/>
      <c r="DH24" s="257"/>
      <c r="DI24" s="257"/>
      <c r="DJ24" s="257"/>
      <c r="DK24" s="257"/>
      <c r="DL24" s="257"/>
      <c r="DM24" s="257"/>
      <c r="DN24" s="257"/>
      <c r="DO24" s="257"/>
      <c r="DP24" s="257"/>
      <c r="DQ24" s="257"/>
      <c r="DR24" s="257"/>
      <c r="DS24" s="257"/>
      <c r="DT24" s="257"/>
      <c r="DU24" s="257"/>
      <c r="DV24" s="257"/>
      <c r="DW24" s="257"/>
      <c r="DX24" s="257"/>
      <c r="DY24" s="257"/>
      <c r="DZ24" s="257"/>
      <c r="EA24" s="257"/>
      <c r="EB24" s="257"/>
      <c r="EC24" s="257"/>
      <c r="ED24" s="257"/>
      <c r="EE24" s="257"/>
      <c r="EF24" s="257"/>
      <c r="EG24" s="317"/>
      <c r="EH24" s="317"/>
      <c r="EI24" s="317"/>
      <c r="EJ24" s="317"/>
      <c r="EK24" s="317"/>
      <c r="EL24" s="317"/>
      <c r="EM24" s="317"/>
      <c r="EN24" s="317"/>
      <c r="EO24" s="317"/>
      <c r="EP24" s="317"/>
      <c r="EQ24" s="317"/>
      <c r="ER24" s="317"/>
      <c r="ES24" s="317"/>
      <c r="ET24" s="317"/>
      <c r="EU24" s="317"/>
      <c r="EV24" s="317"/>
      <c r="EW24" s="317"/>
      <c r="EX24" s="317"/>
      <c r="EY24" s="317"/>
      <c r="EZ24" s="317"/>
      <c r="FA24" s="317"/>
      <c r="FB24" s="317"/>
      <c r="FC24" s="317"/>
      <c r="FD24" s="317"/>
      <c r="FE24" s="317"/>
      <c r="FF24" s="317"/>
      <c r="FG24" s="317"/>
      <c r="FH24" s="317"/>
      <c r="FI24" s="317"/>
      <c r="FJ24" s="317"/>
      <c r="FK24" s="317"/>
      <c r="FL24" s="317"/>
      <c r="FM24" s="317"/>
      <c r="FN24" s="317"/>
      <c r="FO24" s="317"/>
      <c r="FP24" s="317"/>
      <c r="FQ24" s="317"/>
      <c r="FR24" s="317"/>
      <c r="FS24" s="317"/>
      <c r="FT24" s="317"/>
      <c r="FU24" s="317"/>
      <c r="FV24" s="317"/>
      <c r="FW24" s="317"/>
      <c r="FX24" s="317"/>
      <c r="FY24" s="317"/>
      <c r="FZ24" s="317"/>
      <c r="GA24" s="317"/>
      <c r="GB24" s="317"/>
      <c r="GC24" s="317"/>
      <c r="GD24" s="317"/>
      <c r="GE24" s="317"/>
      <c r="GF24" s="317"/>
      <c r="GG24" s="317"/>
      <c r="GH24" s="317"/>
      <c r="GI24" s="317"/>
      <c r="GJ24" s="317"/>
      <c r="GK24" s="317"/>
      <c r="GL24" s="317"/>
      <c r="GM24" s="317"/>
      <c r="GN24" s="317"/>
      <c r="GO24" s="317"/>
      <c r="GP24" s="317"/>
      <c r="GQ24" s="317"/>
      <c r="GR24" s="317"/>
      <c r="GS24" s="317"/>
      <c r="GT24" s="317"/>
      <c r="GU24" s="317"/>
      <c r="GV24" s="317"/>
      <c r="GW24" s="317"/>
      <c r="GX24" s="317"/>
      <c r="GY24" s="317"/>
      <c r="GZ24" s="317"/>
      <c r="HA24" s="317"/>
      <c r="HB24" s="317"/>
      <c r="HC24" s="317"/>
      <c r="HD24" s="317"/>
      <c r="HE24" s="317"/>
      <c r="HF24" s="317"/>
      <c r="HG24" s="317"/>
      <c r="HH24" s="317"/>
      <c r="HI24" s="317"/>
      <c r="HJ24" s="317"/>
      <c r="HK24" s="317"/>
      <c r="HL24" s="317"/>
      <c r="HM24" s="317"/>
      <c r="HN24" s="317"/>
      <c r="HO24" s="317"/>
      <c r="HP24" s="317"/>
      <c r="HQ24" s="317"/>
      <c r="HR24" s="317"/>
      <c r="HS24" s="317"/>
      <c r="HT24" s="317"/>
      <c r="HU24" s="317"/>
      <c r="HV24" s="317"/>
      <c r="HW24" s="317"/>
      <c r="HX24" s="317"/>
      <c r="HY24" s="317"/>
      <c r="HZ24" s="317"/>
      <c r="IA24" s="317"/>
      <c r="IB24" s="317"/>
      <c r="IC24" s="317"/>
      <c r="ID24" s="317"/>
      <c r="IE24" s="317"/>
      <c r="IF24" s="317"/>
      <c r="IG24" s="317"/>
      <c r="IH24" s="317"/>
      <c r="II24" s="317"/>
      <c r="IJ24" s="317"/>
      <c r="IK24" s="317"/>
      <c r="IL24" s="317"/>
      <c r="IM24" s="317"/>
      <c r="IN24" s="317"/>
      <c r="IO24" s="317"/>
      <c r="IP24" s="317"/>
      <c r="IQ24" s="317"/>
      <c r="IR24" s="317"/>
      <c r="IS24" s="317"/>
      <c r="IT24" s="317"/>
      <c r="IU24" s="317"/>
      <c r="IV24" s="317"/>
      <c r="IW24" s="317"/>
      <c r="IX24" s="317"/>
      <c r="IY24" s="317"/>
      <c r="IZ24" s="317"/>
      <c r="JA24" s="317"/>
      <c r="JB24" s="317"/>
      <c r="JC24" s="317"/>
      <c r="JD24" s="317"/>
      <c r="JE24" s="317"/>
      <c r="JF24" s="317"/>
      <c r="JG24" s="317"/>
      <c r="JH24" s="317"/>
      <c r="JI24" s="317"/>
      <c r="JJ24" s="317"/>
      <c r="JK24" s="317"/>
      <c r="JL24" s="317"/>
    </row>
    <row r="25" spans="1:272">
      <c r="A25" s="257"/>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7"/>
      <c r="CN25" s="257"/>
      <c r="CO25" s="257"/>
      <c r="CP25" s="257"/>
      <c r="CQ25" s="257"/>
      <c r="CR25" s="257"/>
      <c r="CS25" s="257"/>
      <c r="CT25" s="257"/>
      <c r="CU25" s="257"/>
      <c r="CV25" s="257"/>
      <c r="CW25" s="257"/>
      <c r="CX25" s="257"/>
      <c r="CY25" s="257"/>
      <c r="CZ25" s="257"/>
      <c r="DA25" s="257"/>
      <c r="DB25" s="257"/>
      <c r="DC25" s="257"/>
      <c r="DD25" s="257"/>
      <c r="DE25" s="257"/>
      <c r="DF25" s="257"/>
      <c r="DG25" s="257"/>
      <c r="DH25" s="257"/>
      <c r="DI25" s="257"/>
      <c r="DJ25" s="257"/>
      <c r="DK25" s="257"/>
      <c r="DL25" s="257"/>
      <c r="DM25" s="257"/>
      <c r="DN25" s="257"/>
      <c r="DO25" s="257"/>
      <c r="DP25" s="257"/>
      <c r="DQ25" s="257"/>
      <c r="DR25" s="257"/>
      <c r="DS25" s="257"/>
      <c r="DT25" s="257"/>
      <c r="DU25" s="257"/>
      <c r="DV25" s="257"/>
      <c r="DW25" s="257"/>
      <c r="DX25" s="257"/>
      <c r="DY25" s="257"/>
      <c r="DZ25" s="257"/>
      <c r="EA25" s="257"/>
      <c r="EB25" s="257"/>
      <c r="EC25" s="257"/>
      <c r="ED25" s="257"/>
      <c r="EE25" s="257"/>
      <c r="EF25" s="257"/>
      <c r="EG25" s="317"/>
      <c r="EH25" s="317"/>
      <c r="EI25" s="317"/>
      <c r="EJ25" s="317"/>
      <c r="EK25" s="317"/>
      <c r="EL25" s="317"/>
      <c r="EM25" s="317"/>
      <c r="EN25" s="317"/>
      <c r="EO25" s="317"/>
      <c r="EP25" s="317"/>
      <c r="EQ25" s="317"/>
      <c r="ER25" s="317"/>
      <c r="ES25" s="317"/>
      <c r="ET25" s="317"/>
      <c r="EU25" s="317"/>
      <c r="EV25" s="317"/>
      <c r="EW25" s="317"/>
      <c r="EX25" s="317"/>
      <c r="EY25" s="317"/>
      <c r="EZ25" s="317"/>
      <c r="FA25" s="317"/>
      <c r="FB25" s="317"/>
      <c r="FC25" s="317"/>
      <c r="FD25" s="317"/>
      <c r="FE25" s="317"/>
      <c r="FF25" s="317"/>
      <c r="FG25" s="317"/>
      <c r="FH25" s="317"/>
      <c r="FI25" s="317"/>
      <c r="FJ25" s="317"/>
      <c r="FK25" s="317"/>
      <c r="FL25" s="317"/>
      <c r="FM25" s="317"/>
      <c r="FN25" s="317"/>
      <c r="FO25" s="317"/>
      <c r="FP25" s="317"/>
      <c r="FQ25" s="317"/>
      <c r="FR25" s="317"/>
      <c r="FS25" s="317"/>
      <c r="FT25" s="317"/>
      <c r="FU25" s="317"/>
      <c r="FV25" s="317"/>
      <c r="FW25" s="317"/>
      <c r="FX25" s="317"/>
      <c r="FY25" s="317"/>
      <c r="FZ25" s="317"/>
      <c r="GA25" s="317"/>
      <c r="GB25" s="317"/>
      <c r="GC25" s="317"/>
      <c r="GD25" s="317"/>
      <c r="GE25" s="317"/>
      <c r="GF25" s="317"/>
      <c r="GG25" s="317"/>
      <c r="GH25" s="317"/>
      <c r="GI25" s="317"/>
      <c r="GJ25" s="317"/>
      <c r="GK25" s="317"/>
      <c r="GL25" s="317"/>
      <c r="GM25" s="317"/>
      <c r="GN25" s="317"/>
      <c r="GO25" s="317"/>
      <c r="GP25" s="317"/>
      <c r="GQ25" s="317"/>
      <c r="GR25" s="317"/>
      <c r="GS25" s="317"/>
      <c r="GT25" s="317"/>
      <c r="GU25" s="317"/>
      <c r="GV25" s="317"/>
      <c r="GW25" s="317"/>
      <c r="GX25" s="317"/>
      <c r="GY25" s="317"/>
      <c r="GZ25" s="317"/>
      <c r="HA25" s="317"/>
      <c r="HB25" s="317"/>
      <c r="HC25" s="317"/>
      <c r="HD25" s="317"/>
      <c r="HE25" s="317"/>
      <c r="HF25" s="317"/>
      <c r="HG25" s="317"/>
      <c r="HH25" s="317"/>
      <c r="HI25" s="317"/>
      <c r="HJ25" s="317"/>
      <c r="HK25" s="317"/>
      <c r="HL25" s="317"/>
      <c r="HM25" s="317"/>
      <c r="HN25" s="317"/>
      <c r="HO25" s="317"/>
      <c r="HP25" s="317"/>
      <c r="HQ25" s="317"/>
      <c r="HR25" s="317"/>
      <c r="HS25" s="317"/>
      <c r="HT25" s="317"/>
      <c r="HU25" s="317"/>
      <c r="HV25" s="317"/>
      <c r="HW25" s="317"/>
      <c r="HX25" s="317"/>
      <c r="HY25" s="317"/>
      <c r="HZ25" s="317"/>
      <c r="IA25" s="317"/>
      <c r="IB25" s="317"/>
      <c r="IC25" s="317"/>
      <c r="ID25" s="317"/>
      <c r="IE25" s="317"/>
      <c r="IF25" s="317"/>
      <c r="IG25" s="317"/>
      <c r="IH25" s="317"/>
      <c r="II25" s="317"/>
      <c r="IJ25" s="317"/>
      <c r="IK25" s="317"/>
      <c r="IL25" s="317"/>
      <c r="IM25" s="317"/>
      <c r="IN25" s="317"/>
      <c r="IO25" s="317"/>
      <c r="IP25" s="317"/>
      <c r="IQ25" s="317"/>
      <c r="IR25" s="317"/>
      <c r="IS25" s="317"/>
      <c r="IT25" s="317"/>
      <c r="IU25" s="317"/>
      <c r="IV25" s="317"/>
      <c r="IW25" s="317"/>
      <c r="IX25" s="317"/>
      <c r="IY25" s="317"/>
      <c r="IZ25" s="317"/>
      <c r="JA25" s="317"/>
      <c r="JB25" s="317"/>
      <c r="JC25" s="317"/>
      <c r="JD25" s="317"/>
      <c r="JE25" s="317"/>
      <c r="JF25" s="317"/>
      <c r="JG25" s="317"/>
      <c r="JH25" s="317"/>
      <c r="JI25" s="317"/>
      <c r="JJ25" s="317"/>
      <c r="JK25" s="317"/>
      <c r="JL25" s="317"/>
    </row>
    <row r="26" spans="1:272">
      <c r="A26" s="257"/>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7"/>
      <c r="CN26" s="257"/>
      <c r="CO26" s="257"/>
      <c r="CP26" s="257"/>
      <c r="CQ26" s="257"/>
      <c r="CR26" s="257"/>
      <c r="CS26" s="257"/>
      <c r="CT26" s="257"/>
      <c r="CU26" s="257"/>
      <c r="CV26" s="257"/>
      <c r="CW26" s="257"/>
      <c r="CX26" s="257"/>
      <c r="CY26" s="257"/>
      <c r="CZ26" s="257"/>
      <c r="DA26" s="257"/>
      <c r="DB26" s="257"/>
      <c r="DC26" s="257"/>
      <c r="DD26" s="257"/>
      <c r="DE26" s="257"/>
      <c r="DF26" s="257"/>
      <c r="DG26" s="257"/>
      <c r="DH26" s="257"/>
      <c r="DI26" s="257"/>
      <c r="DJ26" s="257"/>
      <c r="DK26" s="257"/>
      <c r="DL26" s="257"/>
      <c r="DM26" s="257"/>
      <c r="DN26" s="257"/>
      <c r="DO26" s="257"/>
      <c r="DP26" s="257"/>
      <c r="DQ26" s="257"/>
      <c r="DR26" s="257"/>
      <c r="DS26" s="257"/>
      <c r="DT26" s="257"/>
      <c r="DU26" s="257"/>
      <c r="DV26" s="257"/>
      <c r="DW26" s="257"/>
      <c r="DX26" s="257"/>
      <c r="DY26" s="257"/>
      <c r="DZ26" s="257"/>
      <c r="EA26" s="257"/>
      <c r="EB26" s="257"/>
      <c r="EC26" s="257"/>
      <c r="ED26" s="257"/>
      <c r="EE26" s="257"/>
      <c r="EF26" s="257"/>
      <c r="EG26" s="317"/>
      <c r="EH26" s="317"/>
      <c r="EI26" s="317"/>
      <c r="EJ26" s="317"/>
      <c r="EK26" s="317"/>
      <c r="EL26" s="317"/>
      <c r="EM26" s="317"/>
      <c r="EN26" s="317"/>
      <c r="EO26" s="317"/>
      <c r="EP26" s="317"/>
      <c r="EQ26" s="317"/>
      <c r="ER26" s="317"/>
      <c r="ES26" s="317"/>
      <c r="ET26" s="317"/>
      <c r="EU26" s="317"/>
      <c r="EV26" s="317"/>
      <c r="EW26" s="317"/>
      <c r="EX26" s="317"/>
      <c r="EY26" s="317"/>
      <c r="EZ26" s="317"/>
      <c r="FA26" s="317"/>
      <c r="FB26" s="317"/>
      <c r="FC26" s="317"/>
      <c r="FD26" s="317"/>
      <c r="FE26" s="317"/>
      <c r="FF26" s="317"/>
      <c r="FG26" s="317"/>
      <c r="FH26" s="317"/>
      <c r="FI26" s="317"/>
      <c r="FJ26" s="317"/>
      <c r="FK26" s="317"/>
      <c r="FL26" s="317"/>
      <c r="FM26" s="317"/>
      <c r="FN26" s="317"/>
      <c r="FO26" s="317"/>
      <c r="FP26" s="317"/>
      <c r="FQ26" s="317"/>
      <c r="FR26" s="317"/>
      <c r="FS26" s="317"/>
      <c r="FT26" s="317"/>
      <c r="FU26" s="317"/>
      <c r="FV26" s="317"/>
      <c r="FW26" s="317"/>
      <c r="FX26" s="317"/>
      <c r="FY26" s="317"/>
      <c r="FZ26" s="317"/>
      <c r="GA26" s="317"/>
      <c r="GB26" s="317"/>
      <c r="GC26" s="317"/>
      <c r="GD26" s="317"/>
      <c r="GE26" s="317"/>
      <c r="GF26" s="317"/>
      <c r="GG26" s="317"/>
      <c r="GH26" s="317"/>
      <c r="GI26" s="317"/>
      <c r="GJ26" s="317"/>
      <c r="GK26" s="317"/>
      <c r="GL26" s="317"/>
      <c r="GM26" s="317"/>
      <c r="GN26" s="317"/>
      <c r="GO26" s="317"/>
      <c r="GP26" s="317"/>
      <c r="GQ26" s="317"/>
      <c r="GR26" s="317"/>
      <c r="GS26" s="317"/>
      <c r="GT26" s="317"/>
      <c r="GU26" s="317"/>
      <c r="GV26" s="317"/>
      <c r="GW26" s="317"/>
      <c r="GX26" s="317"/>
      <c r="GY26" s="317"/>
      <c r="GZ26" s="317"/>
      <c r="HA26" s="317"/>
      <c r="HB26" s="317"/>
      <c r="HC26" s="317"/>
      <c r="HD26" s="317"/>
      <c r="HE26" s="317"/>
      <c r="HF26" s="317"/>
      <c r="HG26" s="317"/>
      <c r="HH26" s="317"/>
      <c r="HI26" s="317"/>
      <c r="HJ26" s="317"/>
      <c r="HK26" s="317"/>
      <c r="HL26" s="317"/>
      <c r="HM26" s="317"/>
      <c r="HN26" s="317"/>
      <c r="HO26" s="317"/>
      <c r="HP26" s="317"/>
      <c r="HQ26" s="317"/>
      <c r="HR26" s="317"/>
      <c r="HS26" s="317"/>
      <c r="HT26" s="317"/>
      <c r="HU26" s="317"/>
      <c r="HV26" s="317"/>
      <c r="HW26" s="317"/>
      <c r="HX26" s="317"/>
      <c r="HY26" s="317"/>
      <c r="HZ26" s="317"/>
      <c r="IA26" s="317"/>
      <c r="IB26" s="317"/>
      <c r="IC26" s="317"/>
      <c r="ID26" s="317"/>
      <c r="IE26" s="317"/>
      <c r="IF26" s="317"/>
      <c r="IG26" s="317"/>
      <c r="IH26" s="317"/>
      <c r="II26" s="317"/>
      <c r="IJ26" s="317"/>
      <c r="IK26" s="317"/>
      <c r="IL26" s="317"/>
      <c r="IM26" s="317"/>
      <c r="IN26" s="317"/>
      <c r="IO26" s="317"/>
      <c r="IP26" s="317"/>
      <c r="IQ26" s="317"/>
      <c r="IR26" s="317"/>
      <c r="IS26" s="317"/>
      <c r="IT26" s="317"/>
      <c r="IU26" s="317"/>
      <c r="IV26" s="317"/>
      <c r="IW26" s="317"/>
      <c r="IX26" s="317"/>
      <c r="IY26" s="317"/>
      <c r="IZ26" s="317"/>
      <c r="JA26" s="317"/>
      <c r="JB26" s="317"/>
      <c r="JC26" s="317"/>
      <c r="JD26" s="317"/>
      <c r="JE26" s="317"/>
      <c r="JF26" s="317"/>
      <c r="JG26" s="317"/>
      <c r="JH26" s="317"/>
      <c r="JI26" s="317"/>
      <c r="JJ26" s="317"/>
      <c r="JK26" s="317"/>
      <c r="JL26" s="317"/>
    </row>
    <row r="27" spans="1:272">
      <c r="A27" s="257"/>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7"/>
      <c r="BL27" s="257"/>
      <c r="BM27" s="257"/>
      <c r="BN27" s="257"/>
      <c r="BO27" s="257"/>
      <c r="BP27" s="257"/>
      <c r="BQ27" s="257"/>
      <c r="BR27" s="257"/>
      <c r="BS27" s="257"/>
      <c r="BT27" s="257"/>
      <c r="BU27" s="257"/>
      <c r="BV27" s="257"/>
      <c r="BW27" s="257"/>
      <c r="BX27" s="257"/>
      <c r="BY27" s="257"/>
      <c r="BZ27" s="257"/>
      <c r="CA27" s="257"/>
      <c r="CB27" s="257"/>
      <c r="CC27" s="257"/>
      <c r="CD27" s="257"/>
      <c r="CE27" s="257"/>
      <c r="CF27" s="257"/>
      <c r="CG27" s="257"/>
      <c r="CH27" s="257"/>
      <c r="CI27" s="257"/>
      <c r="CJ27" s="257"/>
      <c r="CK27" s="257"/>
      <c r="CL27" s="257"/>
      <c r="CM27" s="257"/>
      <c r="CN27" s="257"/>
      <c r="CO27" s="257"/>
      <c r="CP27" s="257"/>
      <c r="CQ27" s="257"/>
      <c r="CR27" s="257"/>
      <c r="CS27" s="257"/>
      <c r="CT27" s="257"/>
      <c r="CU27" s="257"/>
      <c r="CV27" s="257"/>
      <c r="CW27" s="257"/>
      <c r="CX27" s="257"/>
      <c r="CY27" s="257"/>
      <c r="CZ27" s="257"/>
      <c r="DA27" s="257"/>
      <c r="DB27" s="257"/>
      <c r="DC27" s="257"/>
      <c r="DD27" s="257"/>
      <c r="DE27" s="257"/>
      <c r="DF27" s="257"/>
      <c r="DG27" s="257"/>
      <c r="DH27" s="257"/>
      <c r="DI27" s="257"/>
      <c r="DJ27" s="257"/>
      <c r="DK27" s="257"/>
      <c r="DL27" s="257"/>
      <c r="DM27" s="257"/>
      <c r="DN27" s="257"/>
      <c r="DO27" s="257"/>
      <c r="DP27" s="257"/>
      <c r="DQ27" s="257"/>
      <c r="DR27" s="257"/>
      <c r="DS27" s="257"/>
      <c r="DT27" s="257"/>
      <c r="DU27" s="257"/>
      <c r="DV27" s="257"/>
      <c r="DW27" s="257"/>
      <c r="DX27" s="257"/>
      <c r="DY27" s="257"/>
      <c r="DZ27" s="257"/>
      <c r="EA27" s="257"/>
      <c r="EB27" s="257"/>
      <c r="EC27" s="257"/>
      <c r="ED27" s="257"/>
      <c r="EE27" s="257"/>
      <c r="EF27" s="257"/>
      <c r="EG27" s="317"/>
      <c r="EH27" s="317"/>
      <c r="EI27" s="317"/>
      <c r="EJ27" s="317"/>
      <c r="EK27" s="317"/>
      <c r="EL27" s="317"/>
      <c r="EM27" s="317"/>
      <c r="EN27" s="317"/>
      <c r="EO27" s="317"/>
      <c r="EP27" s="317"/>
      <c r="EQ27" s="317"/>
      <c r="ER27" s="317"/>
      <c r="ES27" s="317"/>
      <c r="ET27" s="317"/>
      <c r="EU27" s="317"/>
      <c r="EV27" s="317"/>
      <c r="EW27" s="317"/>
      <c r="EX27" s="317"/>
      <c r="EY27" s="317"/>
      <c r="EZ27" s="317"/>
      <c r="FA27" s="317"/>
      <c r="FB27" s="317"/>
      <c r="FC27" s="317"/>
      <c r="FD27" s="317"/>
      <c r="FE27" s="317"/>
      <c r="FF27" s="317"/>
      <c r="FG27" s="317"/>
      <c r="FH27" s="317"/>
      <c r="FI27" s="317"/>
      <c r="FJ27" s="317"/>
      <c r="FK27" s="317"/>
      <c r="FL27" s="317"/>
      <c r="FM27" s="317"/>
      <c r="FN27" s="317"/>
      <c r="FO27" s="317"/>
      <c r="FP27" s="317"/>
      <c r="FQ27" s="317"/>
      <c r="FR27" s="317"/>
      <c r="FS27" s="317"/>
      <c r="FT27" s="317"/>
      <c r="FU27" s="317"/>
      <c r="FV27" s="317"/>
      <c r="FW27" s="317"/>
      <c r="FX27" s="317"/>
      <c r="FY27" s="317"/>
      <c r="FZ27" s="317"/>
      <c r="GA27" s="317"/>
      <c r="GB27" s="317"/>
      <c r="GC27" s="317"/>
      <c r="GD27" s="317"/>
      <c r="GE27" s="317"/>
      <c r="GF27" s="317"/>
      <c r="GG27" s="317"/>
      <c r="GH27" s="317"/>
      <c r="GI27" s="317"/>
      <c r="GJ27" s="317"/>
      <c r="GK27" s="317"/>
      <c r="GL27" s="317"/>
      <c r="GM27" s="317"/>
      <c r="GN27" s="317"/>
      <c r="GO27" s="317"/>
      <c r="GP27" s="317"/>
      <c r="GQ27" s="317"/>
      <c r="GR27" s="317"/>
      <c r="GS27" s="317"/>
      <c r="GT27" s="317"/>
      <c r="GU27" s="317"/>
      <c r="GV27" s="317"/>
      <c r="GW27" s="317"/>
      <c r="GX27" s="317"/>
      <c r="GY27" s="317"/>
      <c r="GZ27" s="317"/>
      <c r="HA27" s="317"/>
      <c r="HB27" s="317"/>
      <c r="HC27" s="317"/>
      <c r="HD27" s="317"/>
      <c r="HE27" s="317"/>
      <c r="HF27" s="317"/>
      <c r="HG27" s="317"/>
      <c r="HH27" s="317"/>
      <c r="HI27" s="317"/>
      <c r="HJ27" s="317"/>
      <c r="HK27" s="317"/>
      <c r="HL27" s="317"/>
      <c r="HM27" s="317"/>
      <c r="HN27" s="317"/>
      <c r="HO27" s="317"/>
      <c r="HP27" s="317"/>
      <c r="HQ27" s="317"/>
      <c r="HR27" s="317"/>
      <c r="HS27" s="317"/>
      <c r="HT27" s="317"/>
      <c r="HU27" s="317"/>
      <c r="HV27" s="317"/>
      <c r="HW27" s="317"/>
      <c r="HX27" s="317"/>
      <c r="HY27" s="317"/>
      <c r="HZ27" s="317"/>
      <c r="IA27" s="317"/>
      <c r="IB27" s="317"/>
      <c r="IC27" s="317"/>
      <c r="ID27" s="317"/>
      <c r="IE27" s="317"/>
      <c r="IF27" s="317"/>
      <c r="IG27" s="317"/>
      <c r="IH27" s="317"/>
      <c r="II27" s="317"/>
      <c r="IJ27" s="317"/>
      <c r="IK27" s="317"/>
      <c r="IL27" s="317"/>
      <c r="IM27" s="317"/>
      <c r="IN27" s="317"/>
      <c r="IO27" s="317"/>
      <c r="IP27" s="317"/>
      <c r="IQ27" s="317"/>
      <c r="IR27" s="317"/>
      <c r="IS27" s="317"/>
      <c r="IT27" s="317"/>
      <c r="IU27" s="317"/>
      <c r="IV27" s="317"/>
      <c r="IW27" s="317"/>
      <c r="IX27" s="317"/>
      <c r="IY27" s="317"/>
      <c r="IZ27" s="317"/>
      <c r="JA27" s="317"/>
      <c r="JB27" s="317"/>
      <c r="JC27" s="317"/>
      <c r="JD27" s="317"/>
      <c r="JE27" s="317"/>
      <c r="JF27" s="317"/>
      <c r="JG27" s="317"/>
      <c r="JH27" s="317"/>
      <c r="JI27" s="317"/>
      <c r="JJ27" s="317"/>
      <c r="JK27" s="317"/>
      <c r="JL27" s="317"/>
    </row>
    <row r="28" spans="1:272">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c r="AZ28" s="257"/>
      <c r="BA28" s="257"/>
      <c r="BB28" s="257"/>
      <c r="BC28" s="257"/>
      <c r="BD28" s="257"/>
      <c r="BE28" s="257"/>
      <c r="BF28" s="257"/>
      <c r="BG28" s="257"/>
      <c r="BH28" s="257"/>
      <c r="BI28" s="257"/>
      <c r="BJ28" s="257"/>
      <c r="BK28" s="257"/>
      <c r="BL28" s="257"/>
      <c r="BM28" s="257"/>
      <c r="BN28" s="257"/>
      <c r="BO28" s="257"/>
      <c r="BP28" s="257"/>
      <c r="BQ28" s="257"/>
      <c r="BR28" s="257"/>
      <c r="BS28" s="257"/>
      <c r="BT28" s="257"/>
      <c r="BU28" s="257"/>
      <c r="BV28" s="257"/>
      <c r="BW28" s="257"/>
      <c r="BX28" s="257"/>
      <c r="BY28" s="257"/>
      <c r="BZ28" s="257"/>
      <c r="CA28" s="257"/>
      <c r="CB28" s="257"/>
      <c r="CC28" s="257"/>
      <c r="CD28" s="257"/>
      <c r="CE28" s="257"/>
      <c r="CF28" s="257"/>
      <c r="CG28" s="257"/>
      <c r="CH28" s="257"/>
      <c r="CI28" s="257"/>
      <c r="CJ28" s="257"/>
      <c r="CK28" s="257"/>
      <c r="CL28" s="257"/>
      <c r="CM28" s="257"/>
      <c r="CN28" s="257"/>
      <c r="CO28" s="257"/>
      <c r="CP28" s="257"/>
      <c r="CQ28" s="257"/>
      <c r="CR28" s="257"/>
      <c r="CS28" s="257"/>
      <c r="CT28" s="257"/>
      <c r="CU28" s="257"/>
      <c r="CV28" s="257"/>
      <c r="CW28" s="257"/>
      <c r="CX28" s="257"/>
      <c r="CY28" s="257"/>
      <c r="CZ28" s="257"/>
      <c r="DA28" s="257"/>
      <c r="DB28" s="257"/>
      <c r="DC28" s="257"/>
      <c r="DD28" s="257"/>
      <c r="DE28" s="257"/>
      <c r="DF28" s="257"/>
      <c r="DG28" s="257"/>
      <c r="DH28" s="257"/>
      <c r="DI28" s="257"/>
      <c r="DJ28" s="257"/>
      <c r="DK28" s="257"/>
      <c r="DL28" s="257"/>
      <c r="DM28" s="257"/>
      <c r="DN28" s="257"/>
      <c r="DO28" s="257"/>
      <c r="DP28" s="257"/>
      <c r="DQ28" s="257"/>
      <c r="DR28" s="257"/>
      <c r="DS28" s="257"/>
      <c r="DT28" s="257"/>
      <c r="DU28" s="257"/>
      <c r="DV28" s="257"/>
      <c r="DW28" s="257"/>
      <c r="DX28" s="257"/>
      <c r="DY28" s="257"/>
      <c r="DZ28" s="257"/>
      <c r="EA28" s="257"/>
      <c r="EB28" s="257"/>
      <c r="EC28" s="257"/>
      <c r="ED28" s="257"/>
      <c r="EE28" s="257"/>
      <c r="EF28" s="257"/>
      <c r="EG28" s="317"/>
      <c r="EH28" s="317"/>
      <c r="EI28" s="317"/>
      <c r="EJ28" s="317"/>
      <c r="EK28" s="317"/>
      <c r="EL28" s="317"/>
      <c r="EM28" s="317"/>
      <c r="EN28" s="317"/>
      <c r="EO28" s="317"/>
      <c r="EP28" s="317"/>
      <c r="EQ28" s="317"/>
      <c r="ER28" s="317"/>
      <c r="ES28" s="317"/>
      <c r="ET28" s="317"/>
      <c r="EU28" s="317"/>
      <c r="EV28" s="317"/>
      <c r="EW28" s="317"/>
      <c r="EX28" s="317"/>
      <c r="EY28" s="317"/>
      <c r="EZ28" s="317"/>
      <c r="FA28" s="317"/>
      <c r="FB28" s="317"/>
      <c r="FC28" s="317"/>
      <c r="FD28" s="317"/>
      <c r="FE28" s="317"/>
      <c r="FF28" s="317"/>
      <c r="FG28" s="317"/>
      <c r="FH28" s="317"/>
      <c r="FI28" s="317"/>
      <c r="FJ28" s="317"/>
      <c r="FK28" s="317"/>
      <c r="FL28" s="317"/>
      <c r="FM28" s="317"/>
      <c r="FN28" s="317"/>
      <c r="FO28" s="317"/>
      <c r="FP28" s="317"/>
      <c r="FQ28" s="317"/>
      <c r="FR28" s="317"/>
      <c r="FS28" s="317"/>
      <c r="FT28" s="317"/>
      <c r="FU28" s="317"/>
      <c r="FV28" s="317"/>
      <c r="FW28" s="317"/>
      <c r="FX28" s="317"/>
      <c r="FY28" s="317"/>
      <c r="FZ28" s="317"/>
      <c r="GA28" s="317"/>
      <c r="GB28" s="317"/>
      <c r="GC28" s="317"/>
      <c r="GD28" s="317"/>
      <c r="GE28" s="317"/>
      <c r="GF28" s="317"/>
      <c r="GG28" s="317"/>
      <c r="GH28" s="317"/>
      <c r="GI28" s="317"/>
      <c r="GJ28" s="317"/>
      <c r="GK28" s="317"/>
      <c r="GL28" s="317"/>
      <c r="GM28" s="317"/>
      <c r="GN28" s="317"/>
      <c r="GO28" s="317"/>
      <c r="GP28" s="317"/>
      <c r="GQ28" s="317"/>
      <c r="GR28" s="317"/>
      <c r="GS28" s="317"/>
      <c r="GT28" s="317"/>
      <c r="GU28" s="317"/>
      <c r="GV28" s="317"/>
      <c r="GW28" s="317"/>
      <c r="GX28" s="317"/>
      <c r="GY28" s="317"/>
      <c r="GZ28" s="317"/>
      <c r="HA28" s="317"/>
      <c r="HB28" s="317"/>
      <c r="HC28" s="317"/>
      <c r="HD28" s="317"/>
      <c r="HE28" s="317"/>
      <c r="HF28" s="317"/>
      <c r="HG28" s="317"/>
      <c r="HH28" s="317"/>
      <c r="HI28" s="317"/>
      <c r="HJ28" s="317"/>
      <c r="HK28" s="317"/>
      <c r="HL28" s="317"/>
      <c r="HM28" s="317"/>
      <c r="HN28" s="317"/>
      <c r="HO28" s="317"/>
      <c r="HP28" s="317"/>
      <c r="HQ28" s="317"/>
      <c r="HR28" s="317"/>
      <c r="HS28" s="317"/>
      <c r="HT28" s="317"/>
      <c r="HU28" s="317"/>
      <c r="HV28" s="317"/>
      <c r="HW28" s="317"/>
      <c r="HX28" s="317"/>
      <c r="HY28" s="317"/>
      <c r="HZ28" s="317"/>
      <c r="IA28" s="317"/>
      <c r="IB28" s="317"/>
      <c r="IC28" s="317"/>
      <c r="ID28" s="317"/>
      <c r="IE28" s="317"/>
      <c r="IF28" s="317"/>
      <c r="IG28" s="317"/>
      <c r="IH28" s="317"/>
      <c r="II28" s="317"/>
      <c r="IJ28" s="317"/>
      <c r="IK28" s="317"/>
      <c r="IL28" s="317"/>
      <c r="IM28" s="317"/>
      <c r="IN28" s="317"/>
      <c r="IO28" s="317"/>
      <c r="IP28" s="317"/>
      <c r="IQ28" s="317"/>
      <c r="IR28" s="317"/>
      <c r="IS28" s="317"/>
      <c r="IT28" s="317"/>
      <c r="IU28" s="317"/>
      <c r="IV28" s="317"/>
      <c r="IW28" s="317"/>
      <c r="IX28" s="317"/>
      <c r="IY28" s="317"/>
      <c r="IZ28" s="317"/>
      <c r="JA28" s="317"/>
      <c r="JB28" s="317"/>
      <c r="JC28" s="317"/>
      <c r="JD28" s="317"/>
      <c r="JE28" s="317"/>
      <c r="JF28" s="317"/>
      <c r="JG28" s="317"/>
      <c r="JH28" s="317"/>
      <c r="JI28" s="317"/>
      <c r="JJ28" s="317"/>
      <c r="JK28" s="317"/>
      <c r="JL28" s="317"/>
    </row>
    <row r="29" spans="1:272">
      <c r="A29" s="257"/>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c r="AZ29" s="257"/>
      <c r="BA29" s="257"/>
      <c r="BB29" s="257"/>
      <c r="BC29" s="257"/>
      <c r="BD29" s="257"/>
      <c r="BE29" s="257"/>
      <c r="BF29" s="257"/>
      <c r="BG29" s="257"/>
      <c r="BH29" s="257"/>
      <c r="BI29" s="257"/>
      <c r="BJ29" s="257"/>
      <c r="BK29" s="257"/>
      <c r="BL29" s="257"/>
      <c r="BM29" s="257"/>
      <c r="BN29" s="257"/>
      <c r="BO29" s="257"/>
      <c r="BP29" s="257"/>
      <c r="BQ29" s="257"/>
      <c r="BR29" s="257"/>
      <c r="BS29" s="257"/>
      <c r="BT29" s="257"/>
      <c r="BU29" s="257"/>
      <c r="BV29" s="257"/>
      <c r="BW29" s="257"/>
      <c r="BX29" s="257"/>
      <c r="BY29" s="257"/>
      <c r="BZ29" s="257"/>
      <c r="CA29" s="257"/>
      <c r="CB29" s="257"/>
      <c r="CC29" s="257"/>
      <c r="CD29" s="257"/>
      <c r="CE29" s="257"/>
      <c r="CF29" s="257"/>
      <c r="CG29" s="257"/>
      <c r="CH29" s="257"/>
      <c r="CI29" s="257"/>
      <c r="CJ29" s="257"/>
      <c r="CK29" s="257"/>
      <c r="CL29" s="257"/>
      <c r="CM29" s="257"/>
      <c r="CN29" s="257"/>
      <c r="CO29" s="257"/>
      <c r="CP29" s="257"/>
      <c r="CQ29" s="257"/>
      <c r="CR29" s="257"/>
      <c r="CS29" s="257"/>
      <c r="CT29" s="257"/>
      <c r="CU29" s="257"/>
      <c r="CV29" s="257"/>
      <c r="CW29" s="257"/>
      <c r="CX29" s="257"/>
      <c r="CY29" s="257"/>
      <c r="CZ29" s="257"/>
      <c r="DA29" s="257"/>
      <c r="DB29" s="257"/>
      <c r="DC29" s="257"/>
      <c r="DD29" s="257"/>
      <c r="DE29" s="257"/>
      <c r="DF29" s="257"/>
      <c r="DG29" s="257"/>
      <c r="DH29" s="257"/>
      <c r="DI29" s="257"/>
      <c r="DJ29" s="257"/>
      <c r="DK29" s="257"/>
      <c r="DL29" s="257"/>
      <c r="DM29" s="257"/>
      <c r="DN29" s="257"/>
      <c r="DO29" s="257"/>
      <c r="DP29" s="257"/>
      <c r="DQ29" s="257"/>
      <c r="DR29" s="257"/>
      <c r="DS29" s="257"/>
      <c r="DT29" s="257"/>
      <c r="DU29" s="257"/>
      <c r="DV29" s="257"/>
      <c r="DW29" s="257"/>
      <c r="DX29" s="257"/>
      <c r="DY29" s="257"/>
      <c r="DZ29" s="257"/>
      <c r="EA29" s="257"/>
      <c r="EB29" s="257"/>
      <c r="EC29" s="257"/>
      <c r="ED29" s="257"/>
      <c r="EE29" s="257"/>
      <c r="EF29" s="257"/>
      <c r="EG29" s="317"/>
      <c r="EH29" s="317"/>
      <c r="EI29" s="317"/>
      <c r="EJ29" s="317"/>
      <c r="EK29" s="317"/>
      <c r="EL29" s="317"/>
      <c r="EM29" s="317"/>
      <c r="EN29" s="317"/>
      <c r="EO29" s="317"/>
      <c r="EP29" s="317"/>
      <c r="EQ29" s="317"/>
      <c r="ER29" s="317"/>
      <c r="ES29" s="317"/>
      <c r="ET29" s="317"/>
      <c r="EU29" s="317"/>
      <c r="EV29" s="317"/>
      <c r="EW29" s="317"/>
      <c r="EX29" s="317"/>
      <c r="EY29" s="317"/>
      <c r="EZ29" s="317"/>
      <c r="FA29" s="317"/>
      <c r="FB29" s="317"/>
      <c r="FC29" s="317"/>
      <c r="FD29" s="317"/>
      <c r="FE29" s="317"/>
      <c r="FF29" s="317"/>
      <c r="FG29" s="317"/>
      <c r="FH29" s="317"/>
      <c r="FI29" s="317"/>
      <c r="FJ29" s="317"/>
      <c r="FK29" s="317"/>
      <c r="FL29" s="317"/>
      <c r="FM29" s="317"/>
      <c r="FN29" s="317"/>
      <c r="FO29" s="317"/>
      <c r="FP29" s="317"/>
      <c r="FQ29" s="317"/>
      <c r="FR29" s="317"/>
      <c r="FS29" s="317"/>
      <c r="FT29" s="317"/>
      <c r="FU29" s="317"/>
      <c r="FV29" s="317"/>
      <c r="FW29" s="317"/>
      <c r="FX29" s="317"/>
      <c r="FY29" s="317"/>
      <c r="FZ29" s="317"/>
      <c r="GA29" s="317"/>
      <c r="GB29" s="317"/>
      <c r="GC29" s="317"/>
      <c r="GD29" s="317"/>
      <c r="GE29" s="317"/>
      <c r="GF29" s="317"/>
      <c r="GG29" s="317"/>
      <c r="GH29" s="317"/>
      <c r="GI29" s="317"/>
      <c r="GJ29" s="317"/>
      <c r="GK29" s="317"/>
      <c r="GL29" s="317"/>
      <c r="GM29" s="317"/>
      <c r="GN29" s="317"/>
      <c r="GO29" s="317"/>
      <c r="GP29" s="317"/>
      <c r="GQ29" s="317"/>
      <c r="GR29" s="317"/>
      <c r="GS29" s="317"/>
      <c r="GT29" s="317"/>
      <c r="GU29" s="317"/>
      <c r="GV29" s="317"/>
      <c r="GW29" s="317"/>
      <c r="GX29" s="317"/>
      <c r="GY29" s="317"/>
      <c r="GZ29" s="317"/>
      <c r="HA29" s="317"/>
      <c r="HB29" s="317"/>
      <c r="HC29" s="317"/>
      <c r="HD29" s="317"/>
      <c r="HE29" s="317"/>
      <c r="HF29" s="317"/>
      <c r="HG29" s="317"/>
      <c r="HH29" s="317"/>
      <c r="HI29" s="317"/>
      <c r="HJ29" s="317"/>
      <c r="HK29" s="317"/>
      <c r="HL29" s="317"/>
      <c r="HM29" s="317"/>
      <c r="HN29" s="317"/>
      <c r="HO29" s="317"/>
      <c r="HP29" s="317"/>
      <c r="HQ29" s="317"/>
      <c r="HR29" s="317"/>
      <c r="HS29" s="317"/>
      <c r="HT29" s="317"/>
      <c r="HU29" s="317"/>
      <c r="HV29" s="317"/>
      <c r="HW29" s="317"/>
      <c r="HX29" s="317"/>
      <c r="HY29" s="317"/>
      <c r="HZ29" s="317"/>
      <c r="IA29" s="317"/>
      <c r="IB29" s="317"/>
      <c r="IC29" s="317"/>
      <c r="ID29" s="317"/>
      <c r="IE29" s="317"/>
      <c r="IF29" s="317"/>
      <c r="IG29" s="317"/>
      <c r="IH29" s="317"/>
      <c r="II29" s="317"/>
      <c r="IJ29" s="317"/>
      <c r="IK29" s="317"/>
      <c r="IL29" s="317"/>
      <c r="IM29" s="317"/>
      <c r="IN29" s="317"/>
      <c r="IO29" s="317"/>
      <c r="IP29" s="317"/>
      <c r="IQ29" s="317"/>
      <c r="IR29" s="317"/>
      <c r="IS29" s="317"/>
      <c r="IT29" s="317"/>
      <c r="IU29" s="317"/>
      <c r="IV29" s="317"/>
      <c r="IW29" s="317"/>
      <c r="IX29" s="317"/>
      <c r="IY29" s="317"/>
      <c r="IZ29" s="317"/>
      <c r="JA29" s="317"/>
      <c r="JB29" s="317"/>
      <c r="JC29" s="317"/>
      <c r="JD29" s="317"/>
      <c r="JE29" s="317"/>
      <c r="JF29" s="317"/>
      <c r="JG29" s="317"/>
      <c r="JH29" s="317"/>
      <c r="JI29" s="317"/>
      <c r="JJ29" s="317"/>
      <c r="JK29" s="317"/>
      <c r="JL29" s="317"/>
    </row>
    <row r="30" spans="1:272">
      <c r="A30" s="257"/>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c r="AZ30" s="257"/>
      <c r="BA30" s="257"/>
      <c r="BB30" s="257"/>
      <c r="BC30" s="257"/>
      <c r="BD30" s="257"/>
      <c r="BE30" s="257"/>
      <c r="BF30" s="257"/>
      <c r="BG30" s="257"/>
      <c r="BH30" s="257"/>
      <c r="BI30" s="257"/>
      <c r="BJ30" s="257"/>
      <c r="BK30" s="257"/>
      <c r="BL30" s="257"/>
      <c r="BM30" s="257"/>
      <c r="BN30" s="257"/>
      <c r="BO30" s="257"/>
      <c r="BP30" s="257"/>
      <c r="BQ30" s="257"/>
      <c r="BR30" s="257"/>
      <c r="BS30" s="257"/>
      <c r="BT30" s="257"/>
      <c r="BU30" s="257"/>
      <c r="BV30" s="257"/>
      <c r="BW30" s="257"/>
      <c r="BX30" s="257"/>
      <c r="BY30" s="257"/>
      <c r="BZ30" s="257"/>
      <c r="CA30" s="257"/>
      <c r="CB30" s="257"/>
      <c r="CC30" s="257"/>
      <c r="CD30" s="257"/>
      <c r="CE30" s="257"/>
      <c r="CF30" s="257"/>
      <c r="CG30" s="257"/>
      <c r="CH30" s="257"/>
      <c r="CI30" s="257"/>
      <c r="CJ30" s="257"/>
      <c r="CK30" s="257"/>
      <c r="CL30" s="257"/>
      <c r="CM30" s="257"/>
      <c r="CN30" s="257"/>
      <c r="CO30" s="257"/>
      <c r="CP30" s="257"/>
      <c r="CQ30" s="257"/>
      <c r="CR30" s="257"/>
      <c r="CS30" s="257"/>
      <c r="CT30" s="257"/>
      <c r="CU30" s="257"/>
      <c r="CV30" s="257"/>
      <c r="CW30" s="257"/>
      <c r="CX30" s="257"/>
      <c r="CY30" s="257"/>
      <c r="CZ30" s="257"/>
      <c r="DA30" s="257"/>
      <c r="DB30" s="257"/>
      <c r="DC30" s="257"/>
      <c r="DD30" s="257"/>
      <c r="DE30" s="257"/>
      <c r="DF30" s="257"/>
      <c r="DG30" s="257"/>
      <c r="DH30" s="257"/>
      <c r="DI30" s="257"/>
      <c r="DJ30" s="257"/>
      <c r="DK30" s="257"/>
      <c r="DL30" s="257"/>
      <c r="DM30" s="257"/>
      <c r="DN30" s="257"/>
      <c r="DO30" s="257"/>
      <c r="DP30" s="257"/>
      <c r="DQ30" s="257"/>
      <c r="DR30" s="257"/>
      <c r="DS30" s="257"/>
      <c r="DT30" s="257"/>
      <c r="DU30" s="257"/>
      <c r="DV30" s="257"/>
      <c r="DW30" s="257"/>
      <c r="DX30" s="257"/>
      <c r="DY30" s="257"/>
      <c r="DZ30" s="257"/>
      <c r="EA30" s="257"/>
      <c r="EB30" s="257"/>
      <c r="EC30" s="257"/>
      <c r="ED30" s="257"/>
      <c r="EE30" s="257"/>
      <c r="EF30" s="257"/>
      <c r="EG30" s="317"/>
      <c r="EH30" s="317"/>
      <c r="EI30" s="317"/>
      <c r="EJ30" s="317"/>
      <c r="EK30" s="317"/>
      <c r="EL30" s="317"/>
      <c r="EM30" s="317"/>
      <c r="EN30" s="317"/>
      <c r="EO30" s="317"/>
      <c r="EP30" s="317"/>
      <c r="EQ30" s="317"/>
      <c r="ER30" s="317"/>
      <c r="ES30" s="317"/>
      <c r="ET30" s="317"/>
      <c r="EU30" s="317"/>
      <c r="EV30" s="317"/>
      <c r="EW30" s="317"/>
      <c r="EX30" s="317"/>
      <c r="EY30" s="317"/>
      <c r="EZ30" s="317"/>
      <c r="FA30" s="317"/>
      <c r="FB30" s="317"/>
      <c r="FC30" s="317"/>
      <c r="FD30" s="317"/>
      <c r="FE30" s="317"/>
      <c r="FF30" s="317"/>
      <c r="FG30" s="317"/>
      <c r="FH30" s="317"/>
      <c r="FI30" s="317"/>
      <c r="FJ30" s="317"/>
      <c r="FK30" s="317"/>
      <c r="FL30" s="317"/>
      <c r="FM30" s="317"/>
      <c r="FN30" s="317"/>
      <c r="FO30" s="317"/>
      <c r="FP30" s="317"/>
      <c r="FQ30" s="317"/>
      <c r="FR30" s="317"/>
      <c r="FS30" s="317"/>
      <c r="FT30" s="317"/>
      <c r="FU30" s="317"/>
      <c r="FV30" s="317"/>
      <c r="FW30" s="317"/>
      <c r="FX30" s="317"/>
      <c r="FY30" s="317"/>
      <c r="FZ30" s="317"/>
      <c r="GA30" s="317"/>
      <c r="GB30" s="317"/>
      <c r="GC30" s="317"/>
      <c r="GD30" s="317"/>
      <c r="GE30" s="317"/>
      <c r="GF30" s="317"/>
      <c r="GG30" s="317"/>
      <c r="GH30" s="317"/>
      <c r="GI30" s="317"/>
      <c r="GJ30" s="317"/>
      <c r="GK30" s="317"/>
      <c r="GL30" s="317"/>
      <c r="GM30" s="317"/>
      <c r="GN30" s="317"/>
      <c r="GO30" s="317"/>
      <c r="GP30" s="317"/>
      <c r="GQ30" s="317"/>
      <c r="GR30" s="317"/>
      <c r="GS30" s="317"/>
      <c r="GT30" s="317"/>
      <c r="GU30" s="317"/>
      <c r="GV30" s="317"/>
      <c r="GW30" s="317"/>
      <c r="GX30" s="317"/>
      <c r="GY30" s="317"/>
      <c r="GZ30" s="317"/>
      <c r="HA30" s="317"/>
      <c r="HB30" s="317"/>
      <c r="HC30" s="317"/>
      <c r="HD30" s="317"/>
      <c r="HE30" s="317"/>
      <c r="HF30" s="317"/>
      <c r="HG30" s="317"/>
      <c r="HH30" s="317"/>
      <c r="HI30" s="317"/>
      <c r="HJ30" s="317"/>
      <c r="HK30" s="317"/>
      <c r="HL30" s="317"/>
      <c r="HM30" s="317"/>
      <c r="HN30" s="317"/>
      <c r="HO30" s="317"/>
      <c r="HP30" s="317"/>
      <c r="HQ30" s="317"/>
      <c r="HR30" s="317"/>
      <c r="HS30" s="317"/>
      <c r="HT30" s="317"/>
      <c r="HU30" s="317"/>
      <c r="HV30" s="317"/>
      <c r="HW30" s="317"/>
      <c r="HX30" s="317"/>
      <c r="HY30" s="317"/>
      <c r="HZ30" s="317"/>
      <c r="IA30" s="317"/>
      <c r="IB30" s="317"/>
      <c r="IC30" s="317"/>
      <c r="ID30" s="317"/>
      <c r="IE30" s="317"/>
      <c r="IF30" s="317"/>
      <c r="IG30" s="317"/>
      <c r="IH30" s="317"/>
      <c r="II30" s="317"/>
      <c r="IJ30" s="317"/>
      <c r="IK30" s="317"/>
      <c r="IL30" s="317"/>
      <c r="IM30" s="317"/>
      <c r="IN30" s="317"/>
      <c r="IO30" s="317"/>
      <c r="IP30" s="317"/>
      <c r="IQ30" s="317"/>
      <c r="IR30" s="317"/>
      <c r="IS30" s="317"/>
      <c r="IT30" s="317"/>
      <c r="IU30" s="317"/>
      <c r="IV30" s="317"/>
      <c r="IW30" s="317"/>
      <c r="IX30" s="317"/>
      <c r="IY30" s="317"/>
      <c r="IZ30" s="317"/>
      <c r="JA30" s="317"/>
      <c r="JB30" s="317"/>
      <c r="JC30" s="317"/>
      <c r="JD30" s="317"/>
      <c r="JE30" s="317"/>
      <c r="JF30" s="317"/>
      <c r="JG30" s="317"/>
      <c r="JH30" s="317"/>
      <c r="JI30" s="317"/>
      <c r="JJ30" s="317"/>
      <c r="JK30" s="317"/>
      <c r="JL30" s="317"/>
    </row>
    <row r="31" spans="1:272">
      <c r="A31" s="257"/>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S31" s="257"/>
      <c r="BT31" s="257"/>
      <c r="BU31" s="257"/>
      <c r="BV31" s="257"/>
      <c r="BW31" s="257"/>
      <c r="BX31" s="257"/>
      <c r="BY31" s="257"/>
      <c r="BZ31" s="257"/>
      <c r="CA31" s="257"/>
      <c r="CB31" s="257"/>
      <c r="CC31" s="257"/>
      <c r="CD31" s="257"/>
      <c r="CE31" s="257"/>
      <c r="CF31" s="257"/>
      <c r="CG31" s="257"/>
      <c r="CH31" s="257"/>
      <c r="CI31" s="257"/>
      <c r="CJ31" s="257"/>
      <c r="CK31" s="257"/>
      <c r="CL31" s="257"/>
      <c r="CM31" s="257"/>
      <c r="CN31" s="257"/>
      <c r="CO31" s="257"/>
      <c r="CP31" s="257"/>
      <c r="CQ31" s="257"/>
      <c r="CR31" s="257"/>
      <c r="CS31" s="257"/>
      <c r="CT31" s="257"/>
      <c r="CU31" s="257"/>
      <c r="CV31" s="257"/>
      <c r="CW31" s="257"/>
      <c r="CX31" s="257"/>
      <c r="CY31" s="257"/>
      <c r="CZ31" s="257"/>
      <c r="DA31" s="257"/>
      <c r="DB31" s="257"/>
      <c r="DC31" s="257"/>
      <c r="DD31" s="257"/>
      <c r="DE31" s="257"/>
      <c r="DF31" s="257"/>
      <c r="DG31" s="257"/>
      <c r="DH31" s="257"/>
      <c r="DI31" s="257"/>
      <c r="DJ31" s="257"/>
      <c r="DK31" s="257"/>
      <c r="DL31" s="257"/>
      <c r="DM31" s="257"/>
      <c r="DN31" s="257"/>
      <c r="DO31" s="257"/>
      <c r="DP31" s="257"/>
      <c r="DQ31" s="257"/>
      <c r="DR31" s="257"/>
      <c r="DS31" s="257"/>
      <c r="DT31" s="257"/>
      <c r="DU31" s="257"/>
      <c r="DV31" s="257"/>
      <c r="DW31" s="257"/>
      <c r="DX31" s="257"/>
      <c r="DY31" s="257"/>
      <c r="DZ31" s="257"/>
      <c r="EA31" s="257"/>
      <c r="EB31" s="257"/>
      <c r="EC31" s="257"/>
      <c r="ED31" s="257"/>
      <c r="EE31" s="257"/>
      <c r="EF31" s="257"/>
      <c r="EG31" s="317"/>
      <c r="EH31" s="317"/>
      <c r="EI31" s="317"/>
      <c r="EJ31" s="317"/>
      <c r="EK31" s="317"/>
      <c r="EL31" s="317"/>
      <c r="EM31" s="317"/>
      <c r="EN31" s="317"/>
      <c r="EO31" s="317"/>
      <c r="EP31" s="317"/>
      <c r="EQ31" s="317"/>
      <c r="ER31" s="317"/>
      <c r="ES31" s="317"/>
      <c r="ET31" s="317"/>
      <c r="EU31" s="317"/>
      <c r="EV31" s="317"/>
      <c r="EW31" s="317"/>
      <c r="EX31" s="317"/>
      <c r="EY31" s="317"/>
      <c r="EZ31" s="317"/>
      <c r="FA31" s="317"/>
      <c r="FB31" s="317"/>
      <c r="FC31" s="317"/>
      <c r="FD31" s="317"/>
      <c r="FE31" s="317"/>
      <c r="FF31" s="317"/>
      <c r="FG31" s="317"/>
      <c r="FH31" s="317"/>
      <c r="FI31" s="317"/>
      <c r="FJ31" s="317"/>
      <c r="FK31" s="317"/>
      <c r="FL31" s="317"/>
      <c r="FM31" s="317"/>
      <c r="FN31" s="317"/>
      <c r="FO31" s="317"/>
      <c r="FP31" s="317"/>
      <c r="FQ31" s="317"/>
      <c r="FR31" s="317"/>
      <c r="FS31" s="317"/>
      <c r="FT31" s="317"/>
      <c r="FU31" s="317"/>
      <c r="FV31" s="317"/>
      <c r="FW31" s="317"/>
      <c r="FX31" s="317"/>
      <c r="FY31" s="317"/>
      <c r="FZ31" s="317"/>
      <c r="GA31" s="317"/>
      <c r="GB31" s="317"/>
      <c r="GC31" s="317"/>
      <c r="GD31" s="317"/>
      <c r="GE31" s="317"/>
      <c r="GF31" s="317"/>
      <c r="GG31" s="317"/>
      <c r="GH31" s="317"/>
      <c r="GI31" s="317"/>
      <c r="GJ31" s="317"/>
      <c r="GK31" s="317"/>
      <c r="GL31" s="317"/>
      <c r="GM31" s="317"/>
      <c r="GN31" s="317"/>
      <c r="GO31" s="317"/>
      <c r="GP31" s="317"/>
      <c r="GQ31" s="317"/>
      <c r="GR31" s="317"/>
      <c r="GS31" s="317"/>
      <c r="GT31" s="317"/>
      <c r="GU31" s="317"/>
      <c r="GV31" s="317"/>
      <c r="GW31" s="317"/>
      <c r="GX31" s="317"/>
      <c r="GY31" s="317"/>
      <c r="GZ31" s="317"/>
      <c r="HA31" s="317"/>
      <c r="HB31" s="317"/>
      <c r="HC31" s="317"/>
      <c r="HD31" s="317"/>
      <c r="HE31" s="317"/>
      <c r="HF31" s="317"/>
      <c r="HG31" s="317"/>
      <c r="HH31" s="317"/>
      <c r="HI31" s="317"/>
      <c r="HJ31" s="317"/>
      <c r="HK31" s="317"/>
      <c r="HL31" s="317"/>
      <c r="HM31" s="317"/>
      <c r="HN31" s="317"/>
      <c r="HO31" s="317"/>
      <c r="HP31" s="317"/>
      <c r="HQ31" s="317"/>
      <c r="HR31" s="317"/>
      <c r="HS31" s="317"/>
      <c r="HT31" s="317"/>
      <c r="HU31" s="317"/>
      <c r="HV31" s="317"/>
      <c r="HW31" s="317"/>
      <c r="HX31" s="317"/>
      <c r="HY31" s="317"/>
      <c r="HZ31" s="317"/>
      <c r="IA31" s="317"/>
      <c r="IB31" s="317"/>
      <c r="IC31" s="317"/>
      <c r="ID31" s="317"/>
      <c r="IE31" s="317"/>
      <c r="IF31" s="317"/>
      <c r="IG31" s="317"/>
      <c r="IH31" s="317"/>
      <c r="II31" s="317"/>
      <c r="IJ31" s="317"/>
      <c r="IK31" s="317"/>
      <c r="IL31" s="317"/>
      <c r="IM31" s="317"/>
      <c r="IN31" s="317"/>
      <c r="IO31" s="317"/>
      <c r="IP31" s="317"/>
      <c r="IQ31" s="317"/>
      <c r="IR31" s="317"/>
      <c r="IS31" s="317"/>
      <c r="IT31" s="317"/>
      <c r="IU31" s="317"/>
      <c r="IV31" s="317"/>
      <c r="IW31" s="317"/>
      <c r="IX31" s="317"/>
      <c r="IY31" s="317"/>
      <c r="IZ31" s="317"/>
      <c r="JA31" s="317"/>
      <c r="JB31" s="317"/>
      <c r="JC31" s="317"/>
      <c r="JD31" s="317"/>
      <c r="JE31" s="317"/>
      <c r="JF31" s="317"/>
      <c r="JG31" s="317"/>
      <c r="JH31" s="317"/>
      <c r="JI31" s="317"/>
      <c r="JJ31" s="317"/>
      <c r="JK31" s="317"/>
      <c r="JL31" s="317"/>
    </row>
  </sheetData>
  <mergeCells count="2">
    <mergeCell ref="B9:D9"/>
    <mergeCell ref="B11:K12"/>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6"/>
  <sheetViews>
    <sheetView zoomScale="120" zoomScaleNormal="120" workbookViewId="0">
      <selection activeCell="N26" sqref="N26"/>
    </sheetView>
  </sheetViews>
  <sheetFormatPr defaultColWidth="8.88888888888889" defaultRowHeight="14.4"/>
  <cols>
    <col min="1" max="1" width="4.22222222222222" customWidth="1"/>
    <col min="2" max="2" width="17.962962962963" customWidth="1"/>
    <col min="3" max="3" width="15.1851851851852" customWidth="1"/>
    <col min="4" max="4" width="7.66666666666667" customWidth="1"/>
    <col min="6" max="6" width="7.87037037037037" customWidth="1"/>
    <col min="7" max="7" width="13.9814814814815" customWidth="1"/>
    <col min="8" max="8" width="12.5925925925926" customWidth="1"/>
    <col min="9" max="9" width="11.5740740740741" customWidth="1"/>
    <col min="11" max="11" width="7.5" customWidth="1"/>
    <col min="17" max="17" width="11.0185185185185" customWidth="1"/>
  </cols>
  <sheetData>
    <row r="1" ht="15.15" spans="1:17">
      <c r="A1" s="257"/>
      <c r="B1" s="257"/>
      <c r="C1" s="257"/>
      <c r="D1" s="257"/>
      <c r="E1" s="257"/>
      <c r="F1" s="257"/>
      <c r="G1" s="257"/>
      <c r="H1" s="257"/>
      <c r="I1" s="257"/>
      <c r="J1" s="257"/>
      <c r="K1" s="257"/>
      <c r="L1" s="257"/>
      <c r="M1" s="257"/>
      <c r="N1" s="257"/>
      <c r="O1" s="257"/>
      <c r="P1" s="257"/>
      <c r="Q1" s="257"/>
    </row>
    <row r="2" ht="15.15" spans="1:17">
      <c r="A2" s="257"/>
      <c r="B2" s="258" t="s">
        <v>171</v>
      </c>
      <c r="C2" s="259"/>
      <c r="D2" s="260" t="s">
        <v>172</v>
      </c>
      <c r="E2" s="257"/>
      <c r="F2" s="257"/>
      <c r="G2" s="257"/>
      <c r="H2" s="261"/>
      <c r="I2" s="257"/>
      <c r="J2" s="257"/>
      <c r="K2" s="257"/>
      <c r="L2" s="257"/>
      <c r="M2" s="257"/>
      <c r="N2" s="257"/>
      <c r="O2" s="257"/>
      <c r="P2" s="257"/>
      <c r="Q2" s="257"/>
    </row>
    <row r="3" spans="1:17">
      <c r="A3" s="257"/>
      <c r="B3" s="262" t="s">
        <v>173</v>
      </c>
      <c r="C3" s="263"/>
      <c r="D3" s="264">
        <v>309</v>
      </c>
      <c r="E3" s="257"/>
      <c r="F3" s="258" t="s">
        <v>174</v>
      </c>
      <c r="G3" s="265"/>
      <c r="H3" s="266">
        <f>F48</f>
        <v>157.321428571429</v>
      </c>
      <c r="I3" s="287"/>
      <c r="J3" s="258" t="s">
        <v>175</v>
      </c>
      <c r="K3" s="259"/>
      <c r="L3" s="257"/>
      <c r="M3" s="257"/>
      <c r="N3" s="257"/>
      <c r="O3" s="257"/>
      <c r="P3" s="257"/>
      <c r="Q3" s="257"/>
    </row>
    <row r="4" ht="15.15" spans="1:17">
      <c r="A4" s="257"/>
      <c r="B4" s="267" t="s">
        <v>176</v>
      </c>
      <c r="C4" s="268"/>
      <c r="D4" s="269">
        <v>352</v>
      </c>
      <c r="E4" s="257"/>
      <c r="F4" s="270" t="s">
        <v>177</v>
      </c>
      <c r="G4" s="271"/>
      <c r="H4" s="272">
        <f>VLOOKUP(H50,A46:B446,2,0)</f>
        <v>0.0884794028190475</v>
      </c>
      <c r="I4" s="288"/>
      <c r="J4" s="289">
        <f>H50/4</f>
        <v>33</v>
      </c>
      <c r="K4" s="290"/>
      <c r="L4" s="257"/>
      <c r="M4" s="257"/>
      <c r="N4" s="257"/>
      <c r="O4" s="257"/>
      <c r="P4" s="257"/>
      <c r="Q4" s="257"/>
    </row>
    <row r="5" spans="1:17">
      <c r="A5" s="257"/>
      <c r="B5" s="267" t="s">
        <v>178</v>
      </c>
      <c r="C5" s="268"/>
      <c r="D5" s="269">
        <v>292</v>
      </c>
      <c r="E5" s="257"/>
      <c r="F5" s="270" t="str">
        <f>IF(H3&gt;D8,"你被偷了","你偷了别人")</f>
        <v>你被偷了</v>
      </c>
      <c r="G5" s="273"/>
      <c r="H5" s="274">
        <f>IF(H3&gt;D8,H3-D8,D8-H3)</f>
        <v>16.3214285714286</v>
      </c>
      <c r="I5" s="291"/>
      <c r="J5" s="292"/>
      <c r="K5" s="293"/>
      <c r="L5" s="257"/>
      <c r="M5" s="257"/>
      <c r="N5" s="257"/>
      <c r="O5" s="257"/>
      <c r="P5" s="257"/>
      <c r="Q5" s="257"/>
    </row>
    <row r="6" spans="1:17">
      <c r="A6" s="257"/>
      <c r="B6" s="267" t="s">
        <v>179</v>
      </c>
      <c r="C6" s="268"/>
      <c r="D6" s="269">
        <v>362</v>
      </c>
      <c r="E6" s="257"/>
      <c r="F6" s="275" t="str">
        <f>VLOOKUP(1,I46:Q54,2,0)</f>
        <v>其实吧，你也就洒洒水一般非酋罢了，比你非的人也不少</v>
      </c>
      <c r="G6" s="276"/>
      <c r="H6" s="276"/>
      <c r="I6" s="276"/>
      <c r="J6" s="276"/>
      <c r="K6" s="294"/>
      <c r="L6" s="257"/>
      <c r="M6" s="257"/>
      <c r="N6" s="257"/>
      <c r="O6" s="257"/>
      <c r="P6" s="257"/>
      <c r="Q6" s="257"/>
    </row>
    <row r="7" spans="1:17">
      <c r="A7" s="257"/>
      <c r="B7" s="267" t="s">
        <v>180</v>
      </c>
      <c r="C7" s="268"/>
      <c r="D7" s="269">
        <v>306</v>
      </c>
      <c r="E7" s="257"/>
      <c r="F7" s="257"/>
      <c r="G7" s="257"/>
      <c r="H7" s="257"/>
      <c r="I7" s="257"/>
      <c r="J7" s="257"/>
      <c r="K7" s="257"/>
      <c r="L7" s="257"/>
      <c r="M7" s="257"/>
      <c r="N7" s="257"/>
      <c r="O7" s="257"/>
      <c r="P7" s="257"/>
      <c r="Q7" s="257"/>
    </row>
    <row r="8" spans="1:17">
      <c r="A8" s="257"/>
      <c r="B8" s="277" t="s">
        <v>181</v>
      </c>
      <c r="C8" s="278"/>
      <c r="D8" s="279">
        <v>141</v>
      </c>
      <c r="E8" s="257"/>
      <c r="F8" s="280" t="s">
        <v>182</v>
      </c>
      <c r="G8" s="280"/>
      <c r="H8" s="280"/>
      <c r="I8" s="257"/>
      <c r="J8" s="257"/>
      <c r="K8" s="257"/>
      <c r="L8" s="257"/>
      <c r="M8" s="257"/>
      <c r="N8" s="257"/>
      <c r="O8" s="257"/>
      <c r="P8" s="257"/>
      <c r="Q8" s="257"/>
    </row>
    <row r="9" ht="15.15" spans="1:17">
      <c r="A9" s="257"/>
      <c r="B9" s="257"/>
      <c r="C9" s="257"/>
      <c r="D9" s="257"/>
      <c r="E9" s="257"/>
      <c r="F9" s="280" t="s">
        <v>183</v>
      </c>
      <c r="G9" s="280"/>
      <c r="H9" s="280"/>
      <c r="I9" s="280"/>
      <c r="J9" s="280"/>
      <c r="K9" s="257"/>
      <c r="L9" s="257"/>
      <c r="M9" s="257"/>
      <c r="N9" s="257"/>
      <c r="O9" s="257"/>
      <c r="P9" s="257"/>
      <c r="Q9" s="257"/>
    </row>
    <row r="10" ht="15.15" spans="1:17">
      <c r="A10" s="257"/>
      <c r="B10" s="281" t="s">
        <v>184</v>
      </c>
      <c r="C10" s="282"/>
      <c r="D10" s="283">
        <v>2.04</v>
      </c>
      <c r="E10" s="257"/>
      <c r="F10" s="257"/>
      <c r="G10" s="257"/>
      <c r="H10" s="261"/>
      <c r="I10" s="257"/>
      <c r="J10" s="257"/>
      <c r="K10" s="257"/>
      <c r="L10" s="257"/>
      <c r="M10" s="257"/>
      <c r="N10" s="257"/>
      <c r="O10" s="257"/>
      <c r="P10" s="257"/>
      <c r="Q10" s="257"/>
    </row>
    <row r="11" ht="15.15" spans="1:17">
      <c r="A11" s="257"/>
      <c r="B11" s="270" t="s">
        <v>185</v>
      </c>
      <c r="C11" s="273"/>
      <c r="D11" s="283">
        <f>SUM(D3:D7)/D8/5</f>
        <v>2.29929078014184</v>
      </c>
      <c r="E11" s="257"/>
      <c r="F11" s="257"/>
      <c r="G11" s="257"/>
      <c r="H11" s="261"/>
      <c r="I11" s="257"/>
      <c r="J11" s="257"/>
      <c r="K11" s="257"/>
      <c r="L11" s="257"/>
      <c r="M11" s="257"/>
      <c r="N11" s="257"/>
      <c r="O11" s="257"/>
      <c r="P11" s="257"/>
      <c r="Q11" s="257"/>
    </row>
    <row r="12" spans="1:17">
      <c r="A12" s="257"/>
      <c r="B12" s="257"/>
      <c r="C12" s="257"/>
      <c r="D12" s="257"/>
      <c r="E12" s="257"/>
      <c r="F12" s="257"/>
      <c r="G12" s="257"/>
      <c r="H12" s="261"/>
      <c r="I12" s="257"/>
      <c r="J12" s="257"/>
      <c r="K12" s="257"/>
      <c r="L12" s="257"/>
      <c r="M12" s="257"/>
      <c r="N12" s="257"/>
      <c r="O12" s="257"/>
      <c r="P12" s="257"/>
      <c r="Q12" s="257"/>
    </row>
    <row r="13" spans="1:17">
      <c r="A13" s="257"/>
      <c r="B13" s="257"/>
      <c r="C13" s="257"/>
      <c r="D13" s="257"/>
      <c r="E13" s="257"/>
      <c r="F13" s="257"/>
      <c r="G13" s="257"/>
      <c r="H13" s="257"/>
      <c r="I13" s="257"/>
      <c r="J13" s="257"/>
      <c r="K13" s="257"/>
      <c r="L13" s="257"/>
      <c r="M13" s="257"/>
      <c r="N13" s="257"/>
      <c r="O13" s="257"/>
      <c r="P13" s="257"/>
      <c r="Q13" s="257"/>
    </row>
    <row r="14" spans="1:17">
      <c r="A14" s="257"/>
      <c r="B14" s="257"/>
      <c r="C14" s="257"/>
      <c r="D14" s="257"/>
      <c r="E14" s="257"/>
      <c r="F14" s="257"/>
      <c r="G14" s="257"/>
      <c r="H14" s="257"/>
      <c r="I14" s="257"/>
      <c r="J14" s="257"/>
      <c r="K14" s="257"/>
      <c r="L14" s="257"/>
      <c r="M14" s="257"/>
      <c r="N14" s="257"/>
      <c r="O14" s="257"/>
      <c r="P14" s="257"/>
      <c r="Q14" s="257"/>
    </row>
    <row r="15" spans="1:17">
      <c r="A15" s="257"/>
      <c r="B15" s="257"/>
      <c r="C15" s="257"/>
      <c r="D15" s="257"/>
      <c r="E15" s="257"/>
      <c r="F15" s="257"/>
      <c r="G15" s="257"/>
      <c r="H15" s="257"/>
      <c r="I15" s="257"/>
      <c r="J15" s="257"/>
      <c r="K15" s="257"/>
      <c r="L15" s="257"/>
      <c r="M15" s="257"/>
      <c r="N15" s="257"/>
      <c r="O15" s="257"/>
      <c r="P15" s="257"/>
      <c r="Q15" s="257"/>
    </row>
    <row r="16" spans="1:17">
      <c r="A16" s="257"/>
      <c r="B16" s="257"/>
      <c r="C16" s="257"/>
      <c r="D16" s="257"/>
      <c r="E16" s="257"/>
      <c r="F16" s="257"/>
      <c r="G16" s="257"/>
      <c r="H16" s="257"/>
      <c r="I16" s="257"/>
      <c r="J16" s="257"/>
      <c r="K16" s="257"/>
      <c r="L16" s="257"/>
      <c r="M16" s="257"/>
      <c r="N16" s="257"/>
      <c r="O16" s="257"/>
      <c r="P16" s="257"/>
      <c r="Q16" s="257"/>
    </row>
    <row r="17" spans="1:17">
      <c r="A17" s="257"/>
      <c r="B17" s="257"/>
      <c r="C17" s="257"/>
      <c r="D17" s="257"/>
      <c r="E17" s="257"/>
      <c r="F17" s="257"/>
      <c r="G17" s="257"/>
      <c r="H17" s="257"/>
      <c r="I17" s="257"/>
      <c r="J17" s="257"/>
      <c r="K17" s="257"/>
      <c r="L17" s="257"/>
      <c r="M17" s="257"/>
      <c r="N17" s="257"/>
      <c r="O17" s="257"/>
      <c r="P17" s="257"/>
      <c r="Q17" s="257"/>
    </row>
    <row r="18" spans="1:17">
      <c r="A18" s="257"/>
      <c r="B18" s="257"/>
      <c r="C18" s="257"/>
      <c r="D18" s="257"/>
      <c r="E18" s="257"/>
      <c r="F18" s="257"/>
      <c r="G18" s="257"/>
      <c r="H18" s="257"/>
      <c r="I18" s="257"/>
      <c r="J18" s="257"/>
      <c r="K18" s="257"/>
      <c r="L18" s="257"/>
      <c r="M18" s="257"/>
      <c r="N18" s="257"/>
      <c r="O18" s="257"/>
      <c r="P18" s="257"/>
      <c r="Q18" s="257"/>
    </row>
    <row r="19" spans="1:17">
      <c r="A19" s="257"/>
      <c r="B19" s="257"/>
      <c r="C19" s="257"/>
      <c r="D19" s="257"/>
      <c r="E19" s="257"/>
      <c r="F19" s="257"/>
      <c r="G19" s="257"/>
      <c r="H19" s="257"/>
      <c r="I19" s="257"/>
      <c r="J19" s="257"/>
      <c r="K19" s="257"/>
      <c r="L19" s="257"/>
      <c r="M19" s="257"/>
      <c r="N19" s="257"/>
      <c r="O19" s="257"/>
      <c r="P19" s="257"/>
      <c r="Q19" s="257"/>
    </row>
    <row r="20" spans="1:17">
      <c r="A20" s="257"/>
      <c r="B20" s="257"/>
      <c r="C20" s="257"/>
      <c r="D20" s="257"/>
      <c r="E20" s="257"/>
      <c r="F20" s="257"/>
      <c r="G20" s="257"/>
      <c r="H20" s="257"/>
      <c r="I20" s="257"/>
      <c r="J20" s="257"/>
      <c r="K20" s="257"/>
      <c r="L20" s="257"/>
      <c r="M20" s="257"/>
      <c r="N20" s="257"/>
      <c r="O20" s="257"/>
      <c r="P20" s="257"/>
      <c r="Q20" s="257"/>
    </row>
    <row r="21" spans="1:17">
      <c r="A21" s="257"/>
      <c r="B21" s="257"/>
      <c r="C21" s="257"/>
      <c r="D21" s="257"/>
      <c r="E21" s="257"/>
      <c r="F21" s="257"/>
      <c r="G21" s="257"/>
      <c r="H21" s="257"/>
      <c r="I21" s="257"/>
      <c r="J21" s="257"/>
      <c r="K21" s="257"/>
      <c r="L21" s="257"/>
      <c r="M21" s="257"/>
      <c r="N21" s="257"/>
      <c r="O21" s="257"/>
      <c r="P21" s="257"/>
      <c r="Q21" s="257"/>
    </row>
    <row r="22" spans="1:17">
      <c r="A22" s="257"/>
      <c r="B22" s="257"/>
      <c r="C22" s="257"/>
      <c r="D22" s="257"/>
      <c r="E22" s="257"/>
      <c r="F22" s="257"/>
      <c r="G22" s="257"/>
      <c r="H22" s="257"/>
      <c r="I22" s="257"/>
      <c r="J22" s="257"/>
      <c r="K22" s="257"/>
      <c r="L22" s="257"/>
      <c r="M22" s="257"/>
      <c r="N22" s="257"/>
      <c r="O22" s="257"/>
      <c r="P22" s="257"/>
      <c r="Q22" s="257"/>
    </row>
    <row r="23" spans="1:17">
      <c r="A23" s="257"/>
      <c r="B23" s="257"/>
      <c r="C23" s="257"/>
      <c r="D23" s="257"/>
      <c r="E23" s="257"/>
      <c r="F23" s="257"/>
      <c r="G23" s="257"/>
      <c r="H23" s="257"/>
      <c r="I23" s="257"/>
      <c r="J23" s="257"/>
      <c r="K23" s="257"/>
      <c r="L23" s="257"/>
      <c r="M23" s="257"/>
      <c r="N23" s="257"/>
      <c r="O23" s="257"/>
      <c r="P23" s="257"/>
      <c r="Q23" s="257"/>
    </row>
    <row r="24" spans="1:17">
      <c r="A24" s="257"/>
      <c r="B24" s="257"/>
      <c r="C24" s="257"/>
      <c r="D24" s="257"/>
      <c r="E24" s="257"/>
      <c r="F24" s="257"/>
      <c r="G24" s="257"/>
      <c r="H24" s="257"/>
      <c r="I24" s="257"/>
      <c r="J24" s="257"/>
      <c r="K24" s="257"/>
      <c r="L24" s="257"/>
      <c r="M24" s="257"/>
      <c r="N24" s="257"/>
      <c r="O24" s="257"/>
      <c r="P24" s="257"/>
      <c r="Q24" s="257"/>
    </row>
    <row r="25" spans="1:17">
      <c r="A25" s="257"/>
      <c r="B25" s="257"/>
      <c r="C25" s="257"/>
      <c r="D25" s="257"/>
      <c r="E25" s="257"/>
      <c r="F25" s="257"/>
      <c r="G25" s="257"/>
      <c r="H25" s="257"/>
      <c r="I25" s="257"/>
      <c r="J25" s="257"/>
      <c r="K25" s="257"/>
      <c r="L25" s="257"/>
      <c r="M25" s="257"/>
      <c r="N25" s="257"/>
      <c r="O25" s="257"/>
      <c r="P25" s="257"/>
      <c r="Q25" s="257"/>
    </row>
    <row r="26" spans="1:17">
      <c r="A26" s="257"/>
      <c r="B26" s="257"/>
      <c r="C26" s="257"/>
      <c r="D26" s="257"/>
      <c r="E26" s="257"/>
      <c r="F26" s="257"/>
      <c r="G26" s="257"/>
      <c r="H26" s="257"/>
      <c r="I26" s="257"/>
      <c r="J26" s="257"/>
      <c r="K26" s="257"/>
      <c r="L26" s="257"/>
      <c r="M26" s="257"/>
      <c r="N26" s="257"/>
      <c r="O26" s="257"/>
      <c r="P26" s="257"/>
      <c r="Q26" s="257"/>
    </row>
    <row r="27" spans="1:17">
      <c r="A27" s="257"/>
      <c r="B27" s="257"/>
      <c r="C27" s="257"/>
      <c r="D27" s="257"/>
      <c r="E27" s="257"/>
      <c r="F27" s="257"/>
      <c r="G27" s="257"/>
      <c r="H27" s="257"/>
      <c r="I27" s="257"/>
      <c r="J27" s="257"/>
      <c r="K27" s="257"/>
      <c r="L27" s="257"/>
      <c r="M27" s="257"/>
      <c r="N27" s="257"/>
      <c r="O27" s="257"/>
      <c r="P27" s="257"/>
      <c r="Q27" s="257"/>
    </row>
    <row r="28" spans="1:17">
      <c r="A28" s="284"/>
      <c r="B28" s="284"/>
      <c r="C28" s="284"/>
      <c r="D28" s="284"/>
      <c r="E28" s="284"/>
      <c r="F28" s="284"/>
      <c r="G28" s="284"/>
      <c r="H28" s="284"/>
      <c r="I28" s="284"/>
      <c r="J28" s="284"/>
      <c r="K28" s="284"/>
      <c r="L28" s="284"/>
      <c r="M28" s="284"/>
      <c r="N28" s="284"/>
      <c r="O28" s="284"/>
      <c r="P28" s="284"/>
      <c r="Q28" s="284"/>
    </row>
    <row r="29" spans="1:17">
      <c r="A29" s="284"/>
      <c r="B29" s="284"/>
      <c r="C29" s="284"/>
      <c r="D29" s="284"/>
      <c r="E29" s="284"/>
      <c r="F29" s="284"/>
      <c r="G29" s="284"/>
      <c r="H29" s="284"/>
      <c r="I29" s="284"/>
      <c r="J29" s="284"/>
      <c r="K29" s="284"/>
      <c r="L29" s="284"/>
      <c r="M29" s="284"/>
      <c r="N29" s="284"/>
      <c r="O29" s="284"/>
      <c r="P29" s="284"/>
      <c r="Q29" s="284"/>
    </row>
    <row r="30" spans="1:17">
      <c r="A30" s="284"/>
      <c r="B30" s="284"/>
      <c r="C30" s="284"/>
      <c r="D30" s="284"/>
      <c r="E30" s="284"/>
      <c r="F30" s="284"/>
      <c r="G30" s="284"/>
      <c r="H30" s="284"/>
      <c r="I30" s="284"/>
      <c r="J30" s="284"/>
      <c r="K30" s="284"/>
      <c r="L30" s="284"/>
      <c r="M30" s="284"/>
      <c r="N30" s="284"/>
      <c r="O30" s="284"/>
      <c r="P30" s="284"/>
      <c r="Q30" s="284"/>
    </row>
    <row r="31" spans="1:17">
      <c r="A31" s="284"/>
      <c r="B31" s="284"/>
      <c r="C31" s="284"/>
      <c r="D31" s="284"/>
      <c r="E31" s="284"/>
      <c r="F31" s="284"/>
      <c r="G31" s="284"/>
      <c r="H31" s="284"/>
      <c r="I31" s="284"/>
      <c r="J31" s="284"/>
      <c r="K31" s="284"/>
      <c r="L31" s="284"/>
      <c r="M31" s="284"/>
      <c r="N31" s="284"/>
      <c r="O31" s="284"/>
      <c r="P31" s="284"/>
      <c r="Q31" s="284"/>
    </row>
    <row r="32" spans="1:17">
      <c r="A32" s="284"/>
      <c r="B32" s="284"/>
      <c r="C32" s="284"/>
      <c r="D32" s="284"/>
      <c r="E32" s="284"/>
      <c r="F32" s="284"/>
      <c r="G32" s="284"/>
      <c r="H32" s="284"/>
      <c r="I32" s="284"/>
      <c r="J32" s="284"/>
      <c r="K32" s="284"/>
      <c r="L32" s="284"/>
      <c r="M32" s="284"/>
      <c r="N32" s="284"/>
      <c r="O32" s="284"/>
      <c r="P32" s="284"/>
      <c r="Q32" s="284"/>
    </row>
    <row r="33" spans="1:17">
      <c r="A33" s="284"/>
      <c r="B33" s="284"/>
      <c r="C33" s="284"/>
      <c r="D33" s="284"/>
      <c r="E33" s="284"/>
      <c r="F33" s="284"/>
      <c r="G33" s="284"/>
      <c r="H33" s="284"/>
      <c r="I33" s="284"/>
      <c r="J33" s="284"/>
      <c r="K33" s="284"/>
      <c r="L33" s="284"/>
      <c r="M33" s="284"/>
      <c r="N33" s="284"/>
      <c r="O33" s="284"/>
      <c r="P33" s="284"/>
      <c r="Q33" s="284"/>
    </row>
    <row r="34" spans="1:17">
      <c r="A34" s="284"/>
      <c r="B34" s="284"/>
      <c r="C34" s="284"/>
      <c r="D34" s="284"/>
      <c r="E34" s="284"/>
      <c r="F34" s="284"/>
      <c r="G34" s="284"/>
      <c r="H34" s="284"/>
      <c r="I34" s="284"/>
      <c r="J34" s="284"/>
      <c r="K34" s="284"/>
      <c r="L34" s="284"/>
      <c r="M34" s="284"/>
      <c r="N34" s="284"/>
      <c r="O34" s="284"/>
      <c r="P34" s="284"/>
      <c r="Q34" s="284"/>
    </row>
    <row r="35" spans="1:17">
      <c r="A35" s="284"/>
      <c r="B35" s="284"/>
      <c r="C35" s="284"/>
      <c r="D35" s="284"/>
      <c r="E35" s="284"/>
      <c r="F35" s="284"/>
      <c r="G35" s="284"/>
      <c r="H35" s="284"/>
      <c r="I35" s="284"/>
      <c r="J35" s="284"/>
      <c r="K35" s="284"/>
      <c r="L35" s="284"/>
      <c r="M35" s="284"/>
      <c r="N35" s="284"/>
      <c r="O35" s="284"/>
      <c r="P35" s="284"/>
      <c r="Q35" s="284"/>
    </row>
    <row r="36" spans="1:17">
      <c r="A36" s="284"/>
      <c r="B36" s="284"/>
      <c r="C36" s="284"/>
      <c r="D36" s="284"/>
      <c r="E36" s="284"/>
      <c r="F36" s="284"/>
      <c r="G36" s="284"/>
      <c r="H36" s="284"/>
      <c r="I36" s="284"/>
      <c r="J36" s="284"/>
      <c r="K36" s="284"/>
      <c r="L36" s="284"/>
      <c r="M36" s="284"/>
      <c r="N36" s="284"/>
      <c r="O36" s="284"/>
      <c r="P36" s="284"/>
      <c r="Q36" s="284"/>
    </row>
    <row r="37" spans="1:17">
      <c r="A37" s="284"/>
      <c r="B37" s="284"/>
      <c r="C37" s="284"/>
      <c r="D37" s="284"/>
      <c r="E37" s="284"/>
      <c r="F37" s="284"/>
      <c r="G37" s="284"/>
      <c r="H37" s="284"/>
      <c r="I37" s="284"/>
      <c r="J37" s="284"/>
      <c r="K37" s="284"/>
      <c r="L37" s="284"/>
      <c r="M37" s="284"/>
      <c r="N37" s="284"/>
      <c r="O37" s="284"/>
      <c r="P37" s="284"/>
      <c r="Q37" s="284"/>
    </row>
    <row r="38" spans="1:17">
      <c r="A38" s="284"/>
      <c r="B38" s="284"/>
      <c r="C38" s="284"/>
      <c r="D38" s="284"/>
      <c r="E38" s="284"/>
      <c r="F38" s="284"/>
      <c r="G38" s="284"/>
      <c r="H38" s="284"/>
      <c r="I38" s="284"/>
      <c r="J38" s="284"/>
      <c r="K38" s="284"/>
      <c r="L38" s="284"/>
      <c r="M38" s="284"/>
      <c r="N38" s="284"/>
      <c r="O38" s="284"/>
      <c r="P38" s="284"/>
      <c r="Q38" s="284"/>
    </row>
    <row r="39" spans="1:17">
      <c r="A39" s="284"/>
      <c r="B39" s="284"/>
      <c r="C39" s="284"/>
      <c r="D39" s="284"/>
      <c r="E39" s="284"/>
      <c r="F39" s="284"/>
      <c r="G39" s="284"/>
      <c r="H39" s="284"/>
      <c r="I39" s="284"/>
      <c r="J39" s="284"/>
      <c r="K39" s="284"/>
      <c r="L39" s="284"/>
      <c r="M39" s="284"/>
      <c r="N39" s="284"/>
      <c r="O39" s="284"/>
      <c r="P39" s="284"/>
      <c r="Q39" s="284"/>
    </row>
    <row r="40" spans="1:17">
      <c r="A40" s="284"/>
      <c r="B40" s="284"/>
      <c r="C40" s="284"/>
      <c r="D40" s="284"/>
      <c r="E40" s="284"/>
      <c r="F40" s="284"/>
      <c r="G40" s="284"/>
      <c r="H40" s="284"/>
      <c r="I40" s="284"/>
      <c r="J40" s="284"/>
      <c r="K40" s="284"/>
      <c r="L40" s="284"/>
      <c r="M40" s="284"/>
      <c r="N40" s="284"/>
      <c r="O40" s="284"/>
      <c r="P40" s="284"/>
      <c r="Q40" s="284"/>
    </row>
    <row r="46" spans="1:17">
      <c r="A46">
        <v>0</v>
      </c>
      <c r="B46">
        <v>2.67676699924134e-6</v>
      </c>
      <c r="D46">
        <v>1</v>
      </c>
      <c r="E46">
        <f>D10*5</f>
        <v>10.2</v>
      </c>
      <c r="F46">
        <f>D46+E46</f>
        <v>11.2</v>
      </c>
      <c r="I46">
        <f>IF(H50=0,1,0)</f>
        <v>0</v>
      </c>
      <c r="J46" s="31" t="s">
        <v>186</v>
      </c>
      <c r="K46" s="31"/>
      <c r="L46" s="31"/>
      <c r="M46" s="31"/>
      <c r="N46" s="31"/>
      <c r="O46" s="31"/>
      <c r="P46" s="31"/>
      <c r="Q46" s="31"/>
    </row>
    <row r="47" spans="1:17">
      <c r="A47">
        <v>1</v>
      </c>
      <c r="B47">
        <v>5.57589418927417e-6</v>
      </c>
      <c r="C47" t="s">
        <v>187</v>
      </c>
      <c r="D47" t="s">
        <v>188</v>
      </c>
      <c r="E47" t="s">
        <v>189</v>
      </c>
      <c r="F47" t="s">
        <v>190</v>
      </c>
      <c r="G47" t="s">
        <v>191</v>
      </c>
      <c r="I47">
        <f>IF(AND(H50&gt;0,H50&lt;=80),1,0)</f>
        <v>0</v>
      </c>
      <c r="J47" s="31" t="s">
        <v>192</v>
      </c>
      <c r="K47" s="31"/>
      <c r="L47" s="31"/>
      <c r="M47" s="31"/>
      <c r="N47" s="31"/>
      <c r="O47" s="31"/>
      <c r="P47" s="31"/>
      <c r="Q47" s="31"/>
    </row>
    <row r="48" spans="1:17">
      <c r="A48">
        <v>2</v>
      </c>
      <c r="B48">
        <v>8.7145973947787e-6</v>
      </c>
      <c r="C48">
        <f>SUM(D3:D8)</f>
        <v>1762</v>
      </c>
      <c r="D48">
        <f>D46/F46</f>
        <v>0.0892857142857143</v>
      </c>
      <c r="E48">
        <f>1-D48</f>
        <v>0.910714285714286</v>
      </c>
      <c r="F48">
        <f>C48*D48</f>
        <v>157.321428571429</v>
      </c>
      <c r="G48">
        <f>(D48*E48*C48)^0.5</f>
        <v>11.9697482199493</v>
      </c>
      <c r="I48">
        <f>IF(AND(H50&gt;80,H50&lt;=120),1,0)</f>
        <v>0</v>
      </c>
      <c r="J48" s="31" t="s">
        <v>193</v>
      </c>
      <c r="K48" s="31"/>
      <c r="L48" s="31"/>
      <c r="M48" s="31"/>
      <c r="N48" s="31"/>
      <c r="O48" s="31"/>
      <c r="P48" s="31"/>
      <c r="Q48" s="31"/>
    </row>
    <row r="49" spans="1:17">
      <c r="A49">
        <v>3</v>
      </c>
      <c r="B49">
        <v>1.21113155694716e-5</v>
      </c>
      <c r="F49" t="s">
        <v>194</v>
      </c>
      <c r="G49" t="s">
        <v>195</v>
      </c>
      <c r="H49" t="s">
        <v>196</v>
      </c>
      <c r="I49">
        <f>IF(AND(H50&gt;120,H50&lt;=160),1,0)</f>
        <v>1</v>
      </c>
      <c r="J49" s="31" t="s">
        <v>197</v>
      </c>
      <c r="K49" s="31"/>
      <c r="L49" s="31"/>
      <c r="M49" s="31"/>
      <c r="N49" s="31"/>
      <c r="O49" s="31"/>
      <c r="P49" s="31"/>
      <c r="Q49" s="31"/>
    </row>
    <row r="50" spans="1:17">
      <c r="A50">
        <v>4</v>
      </c>
      <c r="B50">
        <v>1.57857885757796e-5</v>
      </c>
      <c r="F50">
        <f>D8-F48</f>
        <v>-16.3214285714286</v>
      </c>
      <c r="G50">
        <f>ROUND(F50/G48*50+200,0)</f>
        <v>132</v>
      </c>
      <c r="H50">
        <f>IF(G50&lt;0,0,IF(G50&gt;400,400,G50))</f>
        <v>132</v>
      </c>
      <c r="I50">
        <f>IF(AND(H50&gt;160,H50&lt;=240),1,0)</f>
        <v>0</v>
      </c>
      <c r="J50" s="31" t="s">
        <v>198</v>
      </c>
      <c r="K50" s="31"/>
      <c r="L50" s="31"/>
      <c r="M50" s="31"/>
      <c r="N50" s="31"/>
      <c r="O50" s="31"/>
      <c r="P50" s="31"/>
      <c r="Q50" s="31"/>
    </row>
    <row r="51" spans="1:17">
      <c r="A51">
        <v>5</v>
      </c>
      <c r="B51">
        <v>1.97591391922322e-5</v>
      </c>
      <c r="I51">
        <f>IF(AND(H50&gt;240,H50&lt;=280),1,0)</f>
        <v>0</v>
      </c>
      <c r="J51" s="31" t="s">
        <v>199</v>
      </c>
      <c r="K51" s="31"/>
      <c r="L51" s="31"/>
      <c r="M51" s="31"/>
      <c r="N51" s="31"/>
      <c r="O51" s="31"/>
      <c r="P51" s="31"/>
      <c r="Q51" s="31"/>
    </row>
    <row r="52" spans="1:17">
      <c r="A52">
        <v>6</v>
      </c>
      <c r="B52">
        <v>2.40539595245514e-5</v>
      </c>
      <c r="I52">
        <f>IF(AND(H50&gt;280,H50&lt;=320),1,0)</f>
        <v>0</v>
      </c>
      <c r="J52" s="31" t="s">
        <v>200</v>
      </c>
      <c r="K52" s="31"/>
      <c r="L52" s="31"/>
      <c r="M52" s="31"/>
      <c r="N52" s="31"/>
      <c r="O52" s="31"/>
      <c r="P52" s="31"/>
      <c r="Q52" s="31"/>
    </row>
    <row r="53" spans="1:17">
      <c r="A53">
        <v>7</v>
      </c>
      <c r="B53">
        <v>2.86944019998066e-5</v>
      </c>
      <c r="I53">
        <f>IF(AND(H50&gt;320,H50&lt;400),1,0)</f>
        <v>0</v>
      </c>
      <c r="J53" s="31" t="s">
        <v>201</v>
      </c>
      <c r="K53" s="31"/>
      <c r="L53" s="31"/>
      <c r="M53" s="31"/>
      <c r="N53" s="31"/>
      <c r="O53" s="31"/>
      <c r="P53" s="31"/>
      <c r="Q53" s="31"/>
    </row>
    <row r="54" spans="1:17">
      <c r="A54">
        <v>8</v>
      </c>
      <c r="B54">
        <v>3.37062751261618e-5</v>
      </c>
      <c r="I54">
        <f>IF(H50=400,1,0)</f>
        <v>0</v>
      </c>
      <c r="J54" s="31" t="s">
        <v>202</v>
      </c>
      <c r="K54" s="31"/>
      <c r="L54" s="31"/>
      <c r="M54" s="31"/>
      <c r="N54" s="31"/>
      <c r="O54" s="31"/>
      <c r="P54" s="31"/>
      <c r="Q54" s="31"/>
    </row>
    <row r="55" spans="1:2">
      <c r="A55">
        <v>9</v>
      </c>
      <c r="B55">
        <v>3.91171442036085e-5</v>
      </c>
    </row>
    <row r="56" spans="1:2">
      <c r="A56">
        <v>10</v>
      </c>
      <c r="B56">
        <v>4.49564371736543e-5</v>
      </c>
    </row>
    <row r="57" ht="15.15" spans="1:15">
      <c r="A57">
        <v>11</v>
      </c>
      <c r="B57">
        <v>5.12555557981578e-5</v>
      </c>
      <c r="D57" s="285" t="s">
        <v>203</v>
      </c>
      <c r="E57" s="286"/>
      <c r="F57" s="286"/>
      <c r="G57" s="286"/>
      <c r="H57" s="286"/>
      <c r="I57" s="286"/>
      <c r="J57" s="286"/>
      <c r="K57" s="286"/>
      <c r="L57" s="286"/>
      <c r="M57" s="286"/>
      <c r="N57" s="286"/>
      <c r="O57" s="295"/>
    </row>
    <row r="58" spans="1:2">
      <c r="A58">
        <v>12</v>
      </c>
      <c r="B58">
        <v>5.80479923593543e-5</v>
      </c>
    </row>
    <row r="59" spans="1:2">
      <c r="A59">
        <v>13</v>
      </c>
      <c r="B59">
        <v>6.53694520745574e-5</v>
      </c>
    </row>
    <row r="60" spans="1:2">
      <c r="A60">
        <v>14</v>
      </c>
      <c r="B60">
        <v>7.32579814200104e-5</v>
      </c>
    </row>
    <row r="61" spans="1:2">
      <c r="A61">
        <v>15</v>
      </c>
      <c r="B61">
        <v>8.17541025588674e-5</v>
      </c>
    </row>
    <row r="62" spans="1:6">
      <c r="A62">
        <v>16</v>
      </c>
      <c r="B62">
        <v>9.0900954068258e-5</v>
      </c>
      <c r="D62" s="31" t="s">
        <v>204</v>
      </c>
      <c r="E62" s="31"/>
      <c r="F62" s="31"/>
    </row>
    <row r="63" spans="1:2">
      <c r="A63">
        <v>17</v>
      </c>
      <c r="B63">
        <v>0.000100744438159797</v>
      </c>
    </row>
    <row r="64" spans="1:2">
      <c r="A64">
        <v>18</v>
      </c>
      <c r="B64">
        <v>0.000111333374586699</v>
      </c>
    </row>
    <row r="65" spans="1:2">
      <c r="A65">
        <v>19</v>
      </c>
      <c r="B65">
        <v>0.000122719661428805</v>
      </c>
    </row>
    <row r="66" spans="1:2">
      <c r="A66">
        <v>20</v>
      </c>
      <c r="B66">
        <v>0.000134958442944261</v>
      </c>
    </row>
    <row r="67" spans="1:2">
      <c r="A67">
        <v>21</v>
      </c>
      <c r="B67">
        <v>0.000148108284673315</v>
      </c>
    </row>
    <row r="68" spans="1:2">
      <c r="A68">
        <v>22</v>
      </c>
      <c r="B68">
        <v>0.000162231355975594</v>
      </c>
    </row>
    <row r="69" spans="1:2">
      <c r="A69">
        <v>23</v>
      </c>
      <c r="B69">
        <v>0.000177393620177321</v>
      </c>
    </row>
    <row r="70" spans="1:12">
      <c r="A70">
        <v>24</v>
      </c>
      <c r="B70">
        <v>0.000193665032499136</v>
      </c>
      <c r="L70" s="30"/>
    </row>
    <row r="71" spans="1:12">
      <c r="A71">
        <v>25</v>
      </c>
      <c r="B71">
        <v>0.000211119745928457</v>
      </c>
      <c r="L71" s="30"/>
    </row>
    <row r="72" spans="1:12">
      <c r="A72">
        <v>26</v>
      </c>
      <c r="B72">
        <v>0.000229836325192643</v>
      </c>
      <c r="L72" s="30"/>
    </row>
    <row r="73" spans="1:12">
      <c r="A73">
        <v>27</v>
      </c>
      <c r="B73">
        <v>0.000249897968980484</v>
      </c>
      <c r="L73" s="30"/>
    </row>
    <row r="74" spans="1:12">
      <c r="A74">
        <v>28</v>
      </c>
      <c r="B74">
        <v>0.000271392740549814</v>
      </c>
      <c r="L74" s="30"/>
    </row>
    <row r="75" spans="1:14">
      <c r="A75">
        <v>29</v>
      </c>
      <c r="B75">
        <v>0.000294413806848115</v>
      </c>
      <c r="L75" s="30"/>
      <c r="M75"/>
      <c r="N75" s="296"/>
    </row>
    <row r="76" spans="1:2">
      <c r="A76">
        <v>30</v>
      </c>
      <c r="B76">
        <v>0.000319059686261005</v>
      </c>
    </row>
    <row r="77" spans="1:2">
      <c r="A77">
        <v>31</v>
      </c>
      <c r="B77">
        <v>0.000345434505090216</v>
      </c>
    </row>
    <row r="78" spans="1:2">
      <c r="A78">
        <v>32</v>
      </c>
      <c r="B78">
        <v>0.00037364826284827</v>
      </c>
    </row>
    <row r="79" spans="1:2">
      <c r="A79">
        <v>33</v>
      </c>
      <c r="B79">
        <v>0.000403817106441269</v>
      </c>
    </row>
    <row r="80" spans="1:2">
      <c r="A80">
        <v>34</v>
      </c>
      <c r="B80">
        <v>0.000436063613294215</v>
      </c>
    </row>
    <row r="81" spans="1:2">
      <c r="A81">
        <v>35</v>
      </c>
      <c r="B81">
        <v>0.000470517083454817</v>
      </c>
    </row>
    <row r="82" spans="1:2">
      <c r="A82">
        <v>36</v>
      </c>
      <c r="B82">
        <v>0.000507313840692021</v>
      </c>
    </row>
    <row r="83" spans="1:2">
      <c r="A83">
        <v>37</v>
      </c>
      <c r="B83">
        <v>0.000546597542584258</v>
      </c>
    </row>
    <row r="84" spans="1:2">
      <c r="A84">
        <v>38</v>
      </c>
      <c r="B84">
        <v>0.000588519499569777</v>
      </c>
    </row>
    <row r="85" spans="1:2">
      <c r="A85">
        <v>39</v>
      </c>
      <c r="B85">
        <v>0.000633239002907347</v>
      </c>
    </row>
    <row r="86" spans="1:2">
      <c r="A86">
        <v>40</v>
      </c>
      <c r="B86">
        <v>0.000680923661470003</v>
      </c>
    </row>
    <row r="87" spans="1:2">
      <c r="A87">
        <v>41</v>
      </c>
      <c r="B87">
        <v>0.000731749747267439</v>
      </c>
    </row>
    <row r="88" spans="1:2">
      <c r="A88">
        <v>42</v>
      </c>
      <c r="B88">
        <v>0.000785902549564054</v>
      </c>
    </row>
    <row r="89" spans="1:2">
      <c r="A89">
        <v>43</v>
      </c>
      <c r="B89">
        <v>0.000843576737429535</v>
      </c>
    </row>
    <row r="90" spans="1:2">
      <c r="A90">
        <v>44</v>
      </c>
      <c r="B90">
        <v>0.000904976730527248</v>
      </c>
    </row>
    <row r="91" spans="1:2">
      <c r="A91">
        <v>45</v>
      </c>
      <c r="B91">
        <v>0.000970317077912533</v>
      </c>
    </row>
    <row r="92" spans="1:2">
      <c r="A92">
        <v>46</v>
      </c>
      <c r="B92">
        <v>0.00103982284457838</v>
      </c>
    </row>
    <row r="93" spans="1:2">
      <c r="A93">
        <v>47</v>
      </c>
      <c r="B93">
        <v>0.00111373000544983</v>
      </c>
    </row>
    <row r="94" spans="1:2">
      <c r="A94">
        <v>48</v>
      </c>
      <c r="B94">
        <v>0.00119228584649075</v>
      </c>
    </row>
    <row r="95" spans="1:2">
      <c r="A95">
        <v>49</v>
      </c>
      <c r="B95">
        <v>0.0012757493725478</v>
      </c>
    </row>
    <row r="96" spans="1:2">
      <c r="A96">
        <v>50</v>
      </c>
      <c r="B96">
        <v>0.00136439172151579</v>
      </c>
    </row>
    <row r="97" spans="1:2">
      <c r="A97">
        <v>51</v>
      </c>
      <c r="B97">
        <v>0.00145849658436684</v>
      </c>
    </row>
    <row r="98" spans="1:2">
      <c r="A98">
        <v>52</v>
      </c>
      <c r="B98">
        <v>0.00155836063054289</v>
      </c>
    </row>
    <row r="99" spans="1:2">
      <c r="A99">
        <v>53</v>
      </c>
      <c r="B99">
        <v>0.00166429393816657</v>
      </c>
    </row>
    <row r="100" spans="1:2">
      <c r="A100">
        <v>54</v>
      </c>
      <c r="B100">
        <v>0.00177662042848005</v>
      </c>
    </row>
    <row r="101" spans="1:2">
      <c r="A101">
        <v>55</v>
      </c>
      <c r="B101">
        <v>0.00189567830387482</v>
      </c>
    </row>
    <row r="102" spans="1:2">
      <c r="A102">
        <v>56</v>
      </c>
      <c r="B102">
        <v>0.00202182048882807</v>
      </c>
    </row>
    <row r="103" spans="1:2">
      <c r="A103">
        <v>57</v>
      </c>
      <c r="B103">
        <v>0.00215541507301234</v>
      </c>
    </row>
    <row r="104" spans="1:2">
      <c r="A104">
        <v>58</v>
      </c>
      <c r="B104">
        <v>0.00229684575579639</v>
      </c>
    </row>
    <row r="105" spans="1:2">
      <c r="A105">
        <v>59</v>
      </c>
      <c r="B105">
        <v>0.0024465122913048</v>
      </c>
    </row>
    <row r="106" spans="1:2">
      <c r="A106">
        <v>60</v>
      </c>
      <c r="B106">
        <v>0.00260483093315359</v>
      </c>
    </row>
    <row r="107" spans="1:2">
      <c r="A107">
        <v>61</v>
      </c>
      <c r="B107">
        <v>0.00277223487792793</v>
      </c>
    </row>
    <row r="108" spans="1:2">
      <c r="A108">
        <v>62</v>
      </c>
      <c r="B108">
        <v>0.00294917470641702</v>
      </c>
    </row>
    <row r="109" spans="1:2">
      <c r="A109">
        <v>63</v>
      </c>
      <c r="B109">
        <v>0.00313611882156946</v>
      </c>
    </row>
    <row r="110" spans="1:2">
      <c r="A110">
        <v>64</v>
      </c>
      <c r="B110">
        <v>0.00333355388208147</v>
      </c>
    </row>
    <row r="111" spans="1:2">
      <c r="A111">
        <v>65</v>
      </c>
      <c r="B111">
        <v>0.00354198523047878</v>
      </c>
    </row>
    <row r="112" spans="1:2">
      <c r="A112">
        <v>66</v>
      </c>
      <c r="B112">
        <v>0.00376193731450242</v>
      </c>
    </row>
    <row r="113" spans="1:2">
      <c r="A113">
        <v>67</v>
      </c>
      <c r="B113">
        <v>0.00399395410055829</v>
      </c>
    </row>
    <row r="114" spans="1:2">
      <c r="A114">
        <v>68</v>
      </c>
      <c r="B114">
        <v>0.00423859947794091</v>
      </c>
    </row>
    <row r="115" spans="1:2">
      <c r="A115">
        <v>69</v>
      </c>
      <c r="B115">
        <v>0.00449645765249333</v>
      </c>
    </row>
    <row r="116" spans="1:2">
      <c r="A116">
        <v>70</v>
      </c>
      <c r="B116">
        <v>0.00476813352831764</v>
      </c>
    </row>
    <row r="117" spans="1:2">
      <c r="A117">
        <v>71</v>
      </c>
      <c r="B117">
        <v>0.00505425307610471</v>
      </c>
    </row>
    <row r="118" spans="1:2">
      <c r="A118">
        <v>72</v>
      </c>
      <c r="B118">
        <v>0.00535546368660744</v>
      </c>
    </row>
    <row r="119" spans="1:2">
      <c r="A119">
        <v>73</v>
      </c>
      <c r="B119">
        <v>0.00567243450773928</v>
      </c>
    </row>
    <row r="120" spans="1:2">
      <c r="A120">
        <v>74</v>
      </c>
      <c r="B120">
        <v>0.00600585676373936</v>
      </c>
    </row>
    <row r="121" spans="1:2">
      <c r="A121">
        <v>75</v>
      </c>
      <c r="B121">
        <v>0.00635644405480765</v>
      </c>
    </row>
    <row r="122" spans="1:2">
      <c r="A122">
        <v>76</v>
      </c>
      <c r="B122">
        <v>0.00672493263557811</v>
      </c>
    </row>
    <row r="123" spans="1:2">
      <c r="A123">
        <v>77</v>
      </c>
      <c r="B123">
        <v>0.00711208167076483</v>
      </c>
    </row>
    <row r="124" spans="1:2">
      <c r="A124">
        <v>78</v>
      </c>
      <c r="B124">
        <v>0.00751867346628729</v>
      </c>
    </row>
    <row r="125" spans="1:2">
      <c r="A125">
        <v>79</v>
      </c>
      <c r="B125">
        <v>0.00794551367415399</v>
      </c>
    </row>
    <row r="126" spans="1:2">
      <c r="A126">
        <v>80</v>
      </c>
      <c r="B126">
        <v>0.00839343146936162</v>
      </c>
    </row>
    <row r="127" spans="1:2">
      <c r="A127">
        <v>81</v>
      </c>
      <c r="B127">
        <v>0.00886327969704796</v>
      </c>
    </row>
    <row r="128" spans="1:2">
      <c r="A128">
        <v>82</v>
      </c>
      <c r="B128">
        <v>0.00935593498812235</v>
      </c>
    </row>
    <row r="129" spans="1:2">
      <c r="A129">
        <v>83</v>
      </c>
      <c r="B129">
        <v>0.00987229784158696</v>
      </c>
    </row>
    <row r="130" spans="1:2">
      <c r="A130">
        <v>84</v>
      </c>
      <c r="B130">
        <v>0.010413292671757</v>
      </c>
    </row>
    <row r="131" spans="1:2">
      <c r="A131">
        <v>85</v>
      </c>
      <c r="B131">
        <v>0.0109798678185866</v>
      </c>
    </row>
    <row r="132" spans="1:2">
      <c r="A132">
        <v>86</v>
      </c>
      <c r="B132">
        <v>0.0115729955193126</v>
      </c>
    </row>
    <row r="133" spans="1:2">
      <c r="A133">
        <v>87</v>
      </c>
      <c r="B133">
        <v>0.0121936718396362</v>
      </c>
    </row>
    <row r="134" spans="1:2">
      <c r="A134">
        <v>88</v>
      </c>
      <c r="B134">
        <v>0.0128429165626803</v>
      </c>
    </row>
    <row r="135" spans="1:2">
      <c r="A135">
        <v>89</v>
      </c>
      <c r="B135">
        <v>0.0135217730339789</v>
      </c>
    </row>
    <row r="136" spans="1:2">
      <c r="A136">
        <v>90</v>
      </c>
      <c r="B136">
        <v>0.0142313079607834</v>
      </c>
    </row>
    <row r="137" spans="1:2">
      <c r="A137">
        <v>91</v>
      </c>
      <c r="B137">
        <v>0.0149726111640035</v>
      </c>
    </row>
    <row r="138" spans="1:2">
      <c r="A138">
        <v>92</v>
      </c>
      <c r="B138">
        <v>0.0157467952811394</v>
      </c>
    </row>
    <row r="139" spans="1:2">
      <c r="A139">
        <v>93</v>
      </c>
      <c r="B139">
        <v>0.0165549954186091</v>
      </c>
    </row>
    <row r="140" spans="1:2">
      <c r="A140">
        <v>94</v>
      </c>
      <c r="B140">
        <v>0.0173983687519249</v>
      </c>
    </row>
    <row r="141" spans="1:2">
      <c r="A141">
        <v>95</v>
      </c>
      <c r="B141">
        <v>0.0182780940722364</v>
      </c>
    </row>
    <row r="142" spans="1:2">
      <c r="A142">
        <v>96</v>
      </c>
      <c r="B142">
        <v>0.0191953712778186</v>
      </c>
    </row>
    <row r="143" spans="1:2">
      <c r="A143">
        <v>97</v>
      </c>
      <c r="B143">
        <v>0.0201514208091621</v>
      </c>
    </row>
    <row r="144" spans="1:2">
      <c r="A144">
        <v>98</v>
      </c>
      <c r="B144">
        <v>0.0211474830263981</v>
      </c>
    </row>
    <row r="145" spans="1:2">
      <c r="A145">
        <v>99</v>
      </c>
      <c r="B145">
        <v>0.0221848175278812</v>
      </c>
    </row>
    <row r="146" spans="1:2">
      <c r="A146">
        <v>100</v>
      </c>
      <c r="B146">
        <v>0.0232647024088463</v>
      </c>
    </row>
    <row r="147" spans="1:2">
      <c r="A147">
        <v>101</v>
      </c>
      <c r="B147">
        <v>0.0243884334591561</v>
      </c>
    </row>
    <row r="148" spans="1:2">
      <c r="A148">
        <v>102</v>
      </c>
      <c r="B148">
        <v>0.0255573232992667</v>
      </c>
    </row>
    <row r="149" spans="1:2">
      <c r="A149">
        <v>103</v>
      </c>
      <c r="B149">
        <v>0.0267727004536523</v>
      </c>
    </row>
    <row r="150" spans="1:2">
      <c r="A150">
        <v>104</v>
      </c>
      <c r="B150">
        <v>0.028035908361052</v>
      </c>
    </row>
    <row r="151" spans="1:2">
      <c r="A151">
        <v>105</v>
      </c>
      <c r="B151">
        <v>0.0293483043210331</v>
      </c>
    </row>
    <row r="152" spans="1:2">
      <c r="A152">
        <v>106</v>
      </c>
      <c r="B152">
        <v>0.0307112583764969</v>
      </c>
    </row>
    <row r="153" spans="1:2">
      <c r="A153">
        <v>107</v>
      </c>
      <c r="B153">
        <v>0.0321261521319006</v>
      </c>
    </row>
    <row r="154" spans="1:2">
      <c r="A154">
        <v>108</v>
      </c>
      <c r="B154">
        <v>0.0335943775071105</v>
      </c>
    </row>
    <row r="155" spans="1:2">
      <c r="A155">
        <v>109</v>
      </c>
      <c r="B155">
        <v>0.0351173354269625</v>
      </c>
    </row>
    <row r="156" spans="1:2">
      <c r="A156">
        <v>110</v>
      </c>
      <c r="B156">
        <v>0.0366964344467608</v>
      </c>
    </row>
    <row r="157" spans="1:2">
      <c r="A157">
        <v>111</v>
      </c>
      <c r="B157">
        <v>0.038333089314114</v>
      </c>
    </row>
    <row r="158" spans="1:2">
      <c r="A158">
        <v>112</v>
      </c>
      <c r="B158">
        <v>0.0400287194676769</v>
      </c>
    </row>
    <row r="159" spans="1:2">
      <c r="A159">
        <v>113</v>
      </c>
      <c r="B159">
        <v>0.0417847474735416</v>
      </c>
    </row>
    <row r="160" spans="1:2">
      <c r="A160">
        <v>114</v>
      </c>
      <c r="B160">
        <v>0.0436025974002012</v>
      </c>
    </row>
    <row r="161" spans="1:2">
      <c r="A161">
        <v>115</v>
      </c>
      <c r="B161">
        <v>0.0454836931331922</v>
      </c>
    </row>
    <row r="162" spans="1:2">
      <c r="A162">
        <v>116</v>
      </c>
      <c r="B162">
        <v>0.0474294566307092</v>
      </c>
    </row>
    <row r="163" spans="1:2">
      <c r="A163">
        <v>117</v>
      </c>
      <c r="B163">
        <v>0.0494413061216739</v>
      </c>
    </row>
    <row r="164" spans="1:2">
      <c r="A164">
        <v>118</v>
      </c>
      <c r="B164">
        <v>0.0515206542479328</v>
      </c>
    </row>
    <row r="165" spans="1:2">
      <c r="A165">
        <v>119</v>
      </c>
      <c r="B165">
        <v>0.0536689061524532</v>
      </c>
    </row>
    <row r="166" spans="1:2">
      <c r="A166">
        <v>120</v>
      </c>
      <c r="B166">
        <v>0.0558874575155801</v>
      </c>
    </row>
    <row r="167" spans="1:2">
      <c r="A167">
        <v>121</v>
      </c>
      <c r="B167">
        <v>0.0581776925416142</v>
      </c>
    </row>
    <row r="168" spans="1:2">
      <c r="A168">
        <v>122</v>
      </c>
      <c r="B168">
        <v>0.0605409818981663</v>
      </c>
    </row>
    <row r="169" spans="1:2">
      <c r="A169">
        <v>123</v>
      </c>
      <c r="B169">
        <v>0.062978680610939</v>
      </c>
    </row>
    <row r="170" spans="1:2">
      <c r="A170">
        <v>124</v>
      </c>
      <c r="B170">
        <v>0.0654921259167822</v>
      </c>
    </row>
    <row r="171" spans="1:2">
      <c r="A171">
        <v>125</v>
      </c>
      <c r="B171">
        <v>0.068082635078058</v>
      </c>
    </row>
    <row r="172" spans="1:2">
      <c r="A172">
        <v>126</v>
      </c>
      <c r="B172">
        <v>0.0707515031615451</v>
      </c>
    </row>
    <row r="173" spans="1:2">
      <c r="A173">
        <v>127</v>
      </c>
      <c r="B173">
        <v>0.0735000007852955</v>
      </c>
    </row>
    <row r="174" spans="1:2">
      <c r="A174">
        <v>128</v>
      </c>
      <c r="B174">
        <v>0.0763293718370406</v>
      </c>
    </row>
    <row r="175" spans="1:2">
      <c r="A175">
        <v>129</v>
      </c>
      <c r="B175">
        <v>0.0792408311679228</v>
      </c>
    </row>
    <row r="176" spans="1:2">
      <c r="A176">
        <v>130</v>
      </c>
      <c r="B176">
        <v>0.0822355622654994</v>
      </c>
    </row>
    <row r="177" spans="1:2">
      <c r="A177">
        <v>131</v>
      </c>
      <c r="B177">
        <v>0.0853147149101338</v>
      </c>
    </row>
    <row r="178" spans="1:2">
      <c r="A178">
        <v>132</v>
      </c>
      <c r="B178">
        <v>0.0884794028190475</v>
      </c>
    </row>
    <row r="179" spans="1:2">
      <c r="A179">
        <v>133</v>
      </c>
      <c r="B179">
        <v>0.0917307012824603</v>
      </c>
    </row>
    <row r="180" spans="1:2">
      <c r="A180">
        <v>134</v>
      </c>
      <c r="B180">
        <v>0.0950696447963884</v>
      </c>
    </row>
    <row r="181" spans="1:2">
      <c r="A181">
        <v>135</v>
      </c>
      <c r="B181">
        <v>0.0984972246968056</v>
      </c>
    </row>
    <row r="182" spans="1:2">
      <c r="A182">
        <v>136</v>
      </c>
      <c r="B182">
        <v>0.1020143868</v>
      </c>
    </row>
    <row r="183" spans="1:2">
      <c r="A183">
        <v>137</v>
      </c>
      <c r="B183">
        <v>0.105622029054069</v>
      </c>
    </row>
    <row r="184" spans="1:2">
      <c r="A184">
        <v>138</v>
      </c>
      <c r="B184">
        <v>0.109320999206609</v>
      </c>
    </row>
    <row r="185" spans="1:2">
      <c r="A185">
        <v>139</v>
      </c>
      <c r="B185">
        <v>0.113112092493734</v>
      </c>
    </row>
    <row r="186" spans="1:2">
      <c r="A186">
        <v>140</v>
      </c>
      <c r="B186">
        <v>0.116996049355655</v>
      </c>
    </row>
    <row r="187" spans="1:2">
      <c r="A187">
        <v>141</v>
      </c>
      <c r="B187">
        <v>0.120973553184104</v>
      </c>
    </row>
    <row r="188" spans="1:2">
      <c r="A188">
        <v>142</v>
      </c>
      <c r="B188">
        <v>0.125045228106956</v>
      </c>
    </row>
    <row r="189" spans="1:2">
      <c r="A189">
        <v>143</v>
      </c>
      <c r="B189">
        <v>0.129211636815423</v>
      </c>
    </row>
    <row r="190" spans="1:2">
      <c r="A190">
        <v>144</v>
      </c>
      <c r="B190">
        <v>0.13347327843925</v>
      </c>
    </row>
    <row r="191" spans="1:2">
      <c r="A191">
        <v>145</v>
      </c>
      <c r="B191">
        <v>0.137830586475314</v>
      </c>
    </row>
    <row r="192" spans="1:2">
      <c r="A192">
        <v>146</v>
      </c>
      <c r="B192">
        <v>0.142283926775071</v>
      </c>
    </row>
    <row r="193" spans="1:2">
      <c r="A193">
        <v>147</v>
      </c>
      <c r="B193">
        <v>0.146833595596232</v>
      </c>
    </row>
    <row r="194" spans="1:2">
      <c r="A194">
        <v>148</v>
      </c>
      <c r="B194">
        <v>0.15147981772405</v>
      </c>
    </row>
    <row r="195" spans="1:2">
      <c r="A195">
        <v>149</v>
      </c>
      <c r="B195">
        <v>0.156222744667521</v>
      </c>
    </row>
    <row r="196" spans="1:2">
      <c r="A196">
        <v>150</v>
      </c>
      <c r="B196">
        <v>0.161062452935766</v>
      </c>
    </row>
    <row r="197" spans="1:2">
      <c r="A197">
        <v>151</v>
      </c>
      <c r="B197">
        <v>0.165998942399739</v>
      </c>
    </row>
    <row r="198" spans="1:2">
      <c r="A198">
        <v>152</v>
      </c>
      <c r="B198">
        <v>0.171032134744349</v>
      </c>
    </row>
    <row r="199" spans="1:2">
      <c r="A199">
        <v>153</v>
      </c>
      <c r="B199">
        <v>0.176161872015937</v>
      </c>
    </row>
    <row r="200" spans="1:2">
      <c r="A200">
        <v>154</v>
      </c>
      <c r="B200">
        <v>0.181387915269928</v>
      </c>
    </row>
    <row r="201" spans="1:2">
      <c r="A201">
        <v>155</v>
      </c>
      <c r="B201">
        <v>0.18670994332333</v>
      </c>
    </row>
    <row r="202" spans="1:2">
      <c r="A202">
        <v>156</v>
      </c>
      <c r="B202">
        <v>0.192127551616594</v>
      </c>
    </row>
    <row r="203" spans="1:2">
      <c r="A203">
        <v>157</v>
      </c>
      <c r="B203">
        <v>0.19764025118915</v>
      </c>
    </row>
    <row r="204" spans="1:2">
      <c r="A204">
        <v>158</v>
      </c>
      <c r="B204">
        <v>0.203247467772759</v>
      </c>
    </row>
    <row r="205" spans="1:2">
      <c r="A205">
        <v>159</v>
      </c>
      <c r="B205">
        <v>0.208948541006602</v>
      </c>
    </row>
    <row r="206" spans="1:2">
      <c r="A206">
        <v>160</v>
      </c>
      <c r="B206">
        <v>0.214742723777788</v>
      </c>
    </row>
    <row r="207" spans="1:2">
      <c r="A207">
        <v>161</v>
      </c>
      <c r="B207">
        <v>0.220629181690757</v>
      </c>
    </row>
    <row r="208" spans="1:2">
      <c r="A208">
        <v>162</v>
      </c>
      <c r="B208">
        <v>0.226606992668753</v>
      </c>
    </row>
    <row r="209" spans="1:2">
      <c r="A209">
        <v>163</v>
      </c>
      <c r="B209">
        <v>0.232675146690319</v>
      </c>
    </row>
    <row r="210" spans="1:2">
      <c r="A210">
        <v>164</v>
      </c>
      <c r="B210">
        <v>0.238832545663465</v>
      </c>
    </row>
    <row r="211" spans="1:2">
      <c r="A211">
        <v>165</v>
      </c>
      <c r="B211">
        <v>0.245078003439856</v>
      </c>
    </row>
    <row r="212" spans="1:2">
      <c r="A212">
        <v>166</v>
      </c>
      <c r="B212">
        <v>0.251410245971099</v>
      </c>
    </row>
    <row r="213" spans="1:2">
      <c r="A213">
        <v>167</v>
      </c>
      <c r="B213">
        <v>0.257827911608865</v>
      </c>
    </row>
    <row r="214" spans="1:2">
      <c r="A214">
        <v>168</v>
      </c>
      <c r="B214">
        <v>0.26432955155026</v>
      </c>
    </row>
    <row r="215" spans="1:2">
      <c r="A215">
        <v>169</v>
      </c>
      <c r="B215">
        <v>0.270913630429562</v>
      </c>
    </row>
    <row r="216" spans="1:2">
      <c r="A216">
        <v>170</v>
      </c>
      <c r="B216">
        <v>0.277578527057048</v>
      </c>
    </row>
    <row r="217" spans="1:2">
      <c r="A217">
        <v>171</v>
      </c>
      <c r="B217">
        <v>0.284322535305345</v>
      </c>
    </row>
    <row r="218" spans="1:2">
      <c r="A218">
        <v>172</v>
      </c>
      <c r="B218">
        <v>0.291143865143342</v>
      </c>
    </row>
    <row r="219" spans="1:2">
      <c r="A219">
        <v>173</v>
      </c>
      <c r="B219">
        <v>0.298040643817382</v>
      </c>
    </row>
    <row r="220" spans="1:2">
      <c r="A220">
        <v>174</v>
      </c>
      <c r="B220">
        <v>0.305010917179057</v>
      </c>
    </row>
    <row r="221" spans="1:2">
      <c r="A221">
        <v>175</v>
      </c>
      <c r="B221">
        <v>0.312052651158609</v>
      </c>
    </row>
    <row r="222" spans="1:2">
      <c r="A222">
        <v>176</v>
      </c>
      <c r="B222">
        <v>0.319163733382543</v>
      </c>
    </row>
    <row r="223" spans="1:2">
      <c r="A223">
        <v>177</v>
      </c>
      <c r="B223">
        <v>0.326341974933704</v>
      </c>
    </row>
    <row r="224" spans="1:2">
      <c r="A224">
        <v>178</v>
      </c>
      <c r="B224">
        <v>0.33358511225173</v>
      </c>
    </row>
    <row r="225" spans="1:2">
      <c r="A225">
        <v>179</v>
      </c>
      <c r="B225">
        <v>0.340890809171403</v>
      </c>
    </row>
    <row r="226" spans="1:2">
      <c r="A226">
        <v>180</v>
      </c>
      <c r="B226">
        <v>0.348256659096081</v>
      </c>
    </row>
    <row r="227" spans="1:2">
      <c r="A227">
        <v>181</v>
      </c>
      <c r="B227">
        <v>0.355680187303044</v>
      </c>
    </row>
    <row r="228" spans="1:2">
      <c r="A228">
        <v>182</v>
      </c>
      <c r="B228">
        <v>0.363158853377234</v>
      </c>
    </row>
    <row r="229" spans="1:2">
      <c r="A229">
        <v>183</v>
      </c>
      <c r="B229">
        <v>0.370690053769543</v>
      </c>
    </row>
    <row r="230" spans="1:2">
      <c r="A230">
        <v>184</v>
      </c>
      <c r="B230">
        <v>0.378271124475447</v>
      </c>
    </row>
    <row r="231" spans="1:2">
      <c r="A231">
        <v>185</v>
      </c>
      <c r="B231">
        <v>0.385899343829503</v>
      </c>
    </row>
    <row r="232" spans="1:2">
      <c r="A232">
        <v>186</v>
      </c>
      <c r="B232">
        <v>0.393571935410883</v>
      </c>
    </row>
    <row r="233" spans="1:2">
      <c r="A233">
        <v>187</v>
      </c>
      <c r="B233">
        <v>0.401286071054818</v>
      </c>
    </row>
    <row r="234" spans="1:2">
      <c r="A234">
        <v>188</v>
      </c>
      <c r="B234">
        <v>0.409038873964582</v>
      </c>
    </row>
    <row r="235" spans="1:2">
      <c r="A235">
        <v>189</v>
      </c>
      <c r="B235">
        <v>0.4168274219183</v>
      </c>
    </row>
    <row r="236" spans="1:2">
      <c r="A236">
        <v>190</v>
      </c>
      <c r="B236">
        <v>0.424648750564692</v>
      </c>
    </row>
    <row r="237" spans="1:2">
      <c r="A237">
        <v>191</v>
      </c>
      <c r="B237">
        <v>0.432499856801529</v>
      </c>
    </row>
    <row r="238" spans="1:2">
      <c r="A238">
        <v>192</v>
      </c>
      <c r="B238">
        <v>0.440377702230439</v>
      </c>
    </row>
    <row r="239" spans="1:2">
      <c r="A239">
        <v>193</v>
      </c>
      <c r="B239">
        <v>0.448279216681418</v>
      </c>
    </row>
    <row r="240" spans="1:2">
      <c r="A240">
        <v>194</v>
      </c>
      <c r="B240">
        <v>0.456201301800249</v>
      </c>
    </row>
    <row r="241" spans="1:2">
      <c r="A241">
        <v>195</v>
      </c>
      <c r="B241">
        <v>0.464140834691854</v>
      </c>
    </row>
    <row r="242" spans="1:2">
      <c r="A242">
        <v>196</v>
      </c>
      <c r="B242">
        <v>0.472094671612428</v>
      </c>
    </row>
    <row r="243" spans="1:2">
      <c r="A243">
        <v>197</v>
      </c>
      <c r="B243">
        <v>0.480059651703089</v>
      </c>
    </row>
    <row r="244" spans="1:2">
      <c r="A244">
        <v>198</v>
      </c>
      <c r="B244">
        <v>0.48803260075766</v>
      </c>
    </row>
    <row r="245" spans="1:2">
      <c r="A245">
        <v>199</v>
      </c>
      <c r="B245">
        <v>0.496010335017081</v>
      </c>
    </row>
    <row r="246" spans="1:2">
      <c r="A246">
        <v>200</v>
      </c>
      <c r="B246">
        <v>0.503989664982919</v>
      </c>
    </row>
    <row r="247" spans="1:2">
      <c r="A247">
        <v>201</v>
      </c>
      <c r="B247">
        <v>0.51196739924234</v>
      </c>
    </row>
    <row r="248" spans="1:2">
      <c r="A248">
        <v>202</v>
      </c>
      <c r="B248">
        <v>0.51994034829691</v>
      </c>
    </row>
    <row r="249" spans="1:2">
      <c r="A249">
        <v>203</v>
      </c>
      <c r="B249">
        <v>0.527905328387572</v>
      </c>
    </row>
    <row r="250" spans="1:2">
      <c r="A250">
        <v>204</v>
      </c>
      <c r="B250">
        <v>0.535859165308146</v>
      </c>
    </row>
    <row r="251" spans="1:2">
      <c r="A251">
        <v>205</v>
      </c>
      <c r="B251">
        <v>0.543798698199751</v>
      </c>
    </row>
    <row r="252" spans="1:2">
      <c r="A252">
        <v>206</v>
      </c>
      <c r="B252">
        <v>0.551720783318582</v>
      </c>
    </row>
    <row r="253" spans="1:2">
      <c r="A253">
        <v>207</v>
      </c>
      <c r="B253">
        <v>0.55962229776956</v>
      </c>
    </row>
    <row r="254" spans="1:2">
      <c r="A254">
        <v>208</v>
      </c>
      <c r="B254">
        <v>0.567500143198471</v>
      </c>
    </row>
    <row r="255" spans="1:2">
      <c r="A255">
        <v>209</v>
      </c>
      <c r="B255">
        <v>0.575351249435308</v>
      </c>
    </row>
    <row r="256" spans="1:2">
      <c r="A256">
        <v>210</v>
      </c>
      <c r="B256">
        <v>0.583172578081699</v>
      </c>
    </row>
    <row r="257" spans="1:2">
      <c r="A257">
        <v>211</v>
      </c>
      <c r="B257">
        <v>0.590961126035418</v>
      </c>
    </row>
    <row r="258" spans="1:2">
      <c r="A258">
        <v>212</v>
      </c>
      <c r="B258">
        <v>0.598713928945181</v>
      </c>
    </row>
    <row r="259" spans="1:2">
      <c r="A259">
        <v>213</v>
      </c>
      <c r="B259">
        <v>0.606428064589117</v>
      </c>
    </row>
    <row r="260" spans="1:2">
      <c r="A260">
        <v>214</v>
      </c>
      <c r="B260">
        <v>0.614100656170496</v>
      </c>
    </row>
    <row r="261" spans="1:2">
      <c r="A261">
        <v>215</v>
      </c>
      <c r="B261">
        <v>0.621728875524553</v>
      </c>
    </row>
    <row r="262" spans="1:2">
      <c r="A262">
        <v>216</v>
      </c>
      <c r="B262">
        <v>0.629309946230457</v>
      </c>
    </row>
    <row r="263" spans="1:2">
      <c r="A263">
        <v>217</v>
      </c>
      <c r="B263">
        <v>0.636841146622765</v>
      </c>
    </row>
    <row r="264" spans="1:2">
      <c r="A264">
        <v>218</v>
      </c>
      <c r="B264">
        <v>0.644319812696956</v>
      </c>
    </row>
    <row r="265" spans="1:2">
      <c r="A265">
        <v>219</v>
      </c>
      <c r="B265">
        <v>0.651743340903919</v>
      </c>
    </row>
    <row r="266" spans="1:2">
      <c r="A266">
        <v>220</v>
      </c>
      <c r="B266">
        <v>0.659109190828597</v>
      </c>
    </row>
    <row r="267" spans="1:2">
      <c r="A267">
        <v>221</v>
      </c>
      <c r="B267">
        <v>0.66641488774827</v>
      </c>
    </row>
    <row r="268" spans="1:2">
      <c r="A268">
        <v>222</v>
      </c>
      <c r="B268">
        <v>0.673658025066296</v>
      </c>
    </row>
    <row r="269" spans="1:2">
      <c r="A269">
        <v>223</v>
      </c>
      <c r="B269">
        <v>0.680836266617457</v>
      </c>
    </row>
    <row r="270" spans="1:2">
      <c r="A270">
        <v>224</v>
      </c>
      <c r="B270">
        <v>0.68794734884139</v>
      </c>
    </row>
    <row r="271" spans="1:2">
      <c r="A271">
        <v>225</v>
      </c>
      <c r="B271">
        <v>0.694989082820943</v>
      </c>
    </row>
    <row r="272" spans="1:2">
      <c r="A272">
        <v>226</v>
      </c>
      <c r="B272">
        <v>0.701959356182618</v>
      </c>
    </row>
    <row r="273" spans="1:2">
      <c r="A273">
        <v>227</v>
      </c>
      <c r="B273">
        <v>0.708856134856657</v>
      </c>
    </row>
    <row r="274" spans="1:2">
      <c r="A274">
        <v>228</v>
      </c>
      <c r="B274">
        <v>0.715677464694655</v>
      </c>
    </row>
    <row r="275" spans="1:2">
      <c r="A275">
        <v>229</v>
      </c>
      <c r="B275">
        <v>0.722421472942951</v>
      </c>
    </row>
    <row r="276" spans="1:2">
      <c r="A276">
        <v>230</v>
      </c>
      <c r="B276">
        <v>0.729086369570437</v>
      </c>
    </row>
    <row r="277" spans="1:2">
      <c r="A277">
        <v>231</v>
      </c>
      <c r="B277">
        <v>0.735670448449739</v>
      </c>
    </row>
    <row r="278" spans="1:2">
      <c r="A278">
        <v>232</v>
      </c>
      <c r="B278">
        <v>0.742172088391134</v>
      </c>
    </row>
    <row r="279" spans="1:2">
      <c r="A279">
        <v>233</v>
      </c>
      <c r="B279">
        <v>0.7485897540289</v>
      </c>
    </row>
    <row r="280" spans="1:2">
      <c r="A280">
        <v>234</v>
      </c>
      <c r="B280">
        <v>0.754921996560144</v>
      </c>
    </row>
    <row r="281" spans="1:2">
      <c r="A281">
        <v>235</v>
      </c>
      <c r="B281">
        <v>0.761167454336535</v>
      </c>
    </row>
    <row r="282" spans="1:2">
      <c r="A282">
        <v>236</v>
      </c>
      <c r="B282">
        <v>0.76732485330968</v>
      </c>
    </row>
    <row r="283" spans="1:2">
      <c r="A283">
        <v>237</v>
      </c>
      <c r="B283">
        <v>0.773393007331247</v>
      </c>
    </row>
    <row r="284" spans="1:2">
      <c r="A284">
        <v>238</v>
      </c>
      <c r="B284">
        <v>0.779370818309242</v>
      </c>
    </row>
    <row r="285" spans="1:2">
      <c r="A285">
        <v>239</v>
      </c>
      <c r="B285">
        <v>0.785257276222211</v>
      </c>
    </row>
    <row r="286" spans="1:2">
      <c r="A286">
        <v>240</v>
      </c>
      <c r="B286">
        <v>0.791051458993398</v>
      </c>
    </row>
    <row r="287" spans="1:2">
      <c r="A287">
        <v>241</v>
      </c>
      <c r="B287">
        <v>0.796752532227241</v>
      </c>
    </row>
    <row r="288" spans="1:2">
      <c r="A288">
        <v>242</v>
      </c>
      <c r="B288">
        <v>0.80235974881085</v>
      </c>
    </row>
    <row r="289" spans="1:2">
      <c r="A289">
        <v>243</v>
      </c>
      <c r="B289">
        <v>0.807872448383406</v>
      </c>
    </row>
    <row r="290" spans="1:2">
      <c r="A290">
        <v>244</v>
      </c>
      <c r="B290">
        <v>0.81329005667667</v>
      </c>
    </row>
    <row r="291" spans="1:2">
      <c r="A291">
        <v>245</v>
      </c>
      <c r="B291">
        <v>0.818612084730072</v>
      </c>
    </row>
    <row r="292" spans="1:2">
      <c r="A292">
        <v>246</v>
      </c>
      <c r="B292">
        <v>0.823838127984063</v>
      </c>
    </row>
    <row r="293" spans="1:2">
      <c r="A293">
        <v>247</v>
      </c>
      <c r="B293">
        <v>0.828967865255651</v>
      </c>
    </row>
    <row r="294" spans="1:2">
      <c r="A294">
        <v>248</v>
      </c>
      <c r="B294">
        <v>0.834001057600261</v>
      </c>
    </row>
    <row r="295" spans="1:2">
      <c r="A295">
        <v>249</v>
      </c>
      <c r="B295">
        <v>0.838937547064234</v>
      </c>
    </row>
    <row r="296" spans="1:2">
      <c r="A296">
        <v>250</v>
      </c>
      <c r="B296">
        <v>0.843777255332478</v>
      </c>
    </row>
    <row r="297" spans="1:2">
      <c r="A297">
        <v>251</v>
      </c>
      <c r="B297">
        <v>0.84852018227595</v>
      </c>
    </row>
    <row r="298" spans="1:2">
      <c r="A298">
        <v>252</v>
      </c>
      <c r="B298">
        <v>0.853166404403767</v>
      </c>
    </row>
    <row r="299" spans="1:2">
      <c r="A299">
        <v>253</v>
      </c>
      <c r="B299">
        <v>0.857716073224929</v>
      </c>
    </row>
    <row r="300" spans="1:2">
      <c r="A300">
        <v>254</v>
      </c>
      <c r="B300">
        <v>0.862169413524686</v>
      </c>
    </row>
    <row r="301" spans="1:2">
      <c r="A301">
        <v>255</v>
      </c>
      <c r="B301">
        <v>0.86652672156075</v>
      </c>
    </row>
    <row r="302" spans="1:2">
      <c r="A302">
        <v>256</v>
      </c>
      <c r="B302">
        <v>0.870788363184577</v>
      </c>
    </row>
    <row r="303" spans="1:2">
      <c r="A303">
        <v>257</v>
      </c>
      <c r="B303">
        <v>0.874954771893044</v>
      </c>
    </row>
    <row r="304" spans="1:2">
      <c r="A304">
        <v>258</v>
      </c>
      <c r="B304">
        <v>0.879026446815896</v>
      </c>
    </row>
    <row r="305" spans="1:2">
      <c r="A305">
        <v>259</v>
      </c>
      <c r="B305">
        <v>0.883003950644345</v>
      </c>
    </row>
    <row r="306" spans="1:2">
      <c r="A306">
        <v>260</v>
      </c>
      <c r="B306">
        <v>0.886887907506266</v>
      </c>
    </row>
    <row r="307" spans="1:2">
      <c r="A307">
        <v>261</v>
      </c>
      <c r="B307">
        <v>0.890679000793391</v>
      </c>
    </row>
    <row r="308" spans="1:2">
      <c r="A308">
        <v>262</v>
      </c>
      <c r="B308">
        <v>0.894377970945931</v>
      </c>
    </row>
    <row r="309" spans="1:2">
      <c r="A309">
        <v>263</v>
      </c>
      <c r="B309">
        <v>0.8979856132</v>
      </c>
    </row>
    <row r="310" spans="1:2">
      <c r="A310">
        <v>264</v>
      </c>
      <c r="B310">
        <v>0.901502775303194</v>
      </c>
    </row>
    <row r="311" spans="1:2">
      <c r="A311">
        <v>265</v>
      </c>
      <c r="B311">
        <v>0.904930355203611</v>
      </c>
    </row>
    <row r="312" spans="1:2">
      <c r="A312">
        <v>266</v>
      </c>
      <c r="B312">
        <v>0.908269298717539</v>
      </c>
    </row>
    <row r="313" spans="1:2">
      <c r="A313">
        <v>267</v>
      </c>
      <c r="B313">
        <v>0.911520597180952</v>
      </c>
    </row>
    <row r="314" spans="1:2">
      <c r="A314">
        <v>268</v>
      </c>
      <c r="B314">
        <v>0.914685285089866</v>
      </c>
    </row>
    <row r="315" spans="1:2">
      <c r="A315">
        <v>269</v>
      </c>
      <c r="B315">
        <v>0.9177644377345</v>
      </c>
    </row>
    <row r="316" spans="1:2">
      <c r="A316">
        <v>270</v>
      </c>
      <c r="B316">
        <v>0.920759168832077</v>
      </c>
    </row>
    <row r="317" spans="1:2">
      <c r="A317">
        <v>271</v>
      </c>
      <c r="B317">
        <v>0.923670628162959</v>
      </c>
    </row>
    <row r="318" spans="1:2">
      <c r="A318">
        <v>272</v>
      </c>
      <c r="B318">
        <v>0.926499999214704</v>
      </c>
    </row>
    <row r="319" spans="1:2">
      <c r="A319">
        <v>273</v>
      </c>
      <c r="B319">
        <v>0.929248496838454</v>
      </c>
    </row>
    <row r="320" spans="1:2">
      <c r="A320">
        <v>274</v>
      </c>
      <c r="B320">
        <v>0.931917364921941</v>
      </c>
    </row>
    <row r="321" spans="1:2">
      <c r="A321">
        <v>275</v>
      </c>
      <c r="B321">
        <v>0.934507874083217</v>
      </c>
    </row>
    <row r="322" spans="1:2">
      <c r="A322">
        <v>276</v>
      </c>
      <c r="B322">
        <v>0.93702131938906</v>
      </c>
    </row>
    <row r="323" spans="1:2">
      <c r="A323">
        <v>277</v>
      </c>
      <c r="B323">
        <v>0.939459018101833</v>
      </c>
    </row>
    <row r="324" spans="1:2">
      <c r="A324">
        <v>278</v>
      </c>
      <c r="B324">
        <v>0.941822307458385</v>
      </c>
    </row>
    <row r="325" spans="1:2">
      <c r="A325">
        <v>279</v>
      </c>
      <c r="B325">
        <v>0.944112542484419</v>
      </c>
    </row>
    <row r="326" spans="1:2">
      <c r="A326">
        <v>280</v>
      </c>
      <c r="B326">
        <v>0.946331093847546</v>
      </c>
    </row>
    <row r="327" spans="1:2">
      <c r="A327">
        <v>281</v>
      </c>
      <c r="B327">
        <v>0.948479345752067</v>
      </c>
    </row>
    <row r="328" spans="1:2">
      <c r="A328">
        <v>282</v>
      </c>
      <c r="B328">
        <v>0.950558693878325</v>
      </c>
    </row>
    <row r="329" spans="1:2">
      <c r="A329">
        <v>283</v>
      </c>
      <c r="B329">
        <v>0.95257054336929</v>
      </c>
    </row>
    <row r="330" spans="1:2">
      <c r="A330">
        <v>284</v>
      </c>
      <c r="B330">
        <v>0.954516306866807</v>
      </c>
    </row>
    <row r="331" spans="1:2">
      <c r="A331">
        <v>285</v>
      </c>
      <c r="B331">
        <v>0.956397402599798</v>
      </c>
    </row>
    <row r="332" spans="1:2">
      <c r="A332">
        <v>286</v>
      </c>
      <c r="B332">
        <v>0.958215252526458</v>
      </c>
    </row>
    <row r="333" spans="1:2">
      <c r="A333">
        <v>287</v>
      </c>
      <c r="B333">
        <v>0.959971280532323</v>
      </c>
    </row>
    <row r="334" spans="1:2">
      <c r="A334">
        <v>288</v>
      </c>
      <c r="B334">
        <v>0.961666910685885</v>
      </c>
    </row>
    <row r="335" spans="1:2">
      <c r="A335">
        <v>289</v>
      </c>
      <c r="B335">
        <v>0.963303565553239</v>
      </c>
    </row>
    <row r="336" spans="1:2">
      <c r="A336">
        <v>290</v>
      </c>
      <c r="B336">
        <v>0.964882664573037</v>
      </c>
    </row>
    <row r="337" spans="1:2">
      <c r="A337">
        <v>291</v>
      </c>
      <c r="B337">
        <v>0.966405622492889</v>
      </c>
    </row>
    <row r="338" spans="1:2">
      <c r="A338">
        <v>292</v>
      </c>
      <c r="B338">
        <v>0.967873847868099</v>
      </c>
    </row>
    <row r="339" spans="1:2">
      <c r="A339">
        <v>293</v>
      </c>
      <c r="B339">
        <v>0.969288741623502</v>
      </c>
    </row>
    <row r="340" spans="1:2">
      <c r="A340">
        <v>294</v>
      </c>
      <c r="B340">
        <v>0.970651695678966</v>
      </c>
    </row>
    <row r="341" spans="1:2">
      <c r="A341">
        <v>295</v>
      </c>
      <c r="B341">
        <v>0.971964091638947</v>
      </c>
    </row>
    <row r="342" spans="1:2">
      <c r="A342">
        <v>296</v>
      </c>
      <c r="B342">
        <v>0.973227299546347</v>
      </c>
    </row>
    <row r="343" spans="1:2">
      <c r="A343">
        <v>297</v>
      </c>
      <c r="B343">
        <v>0.974442676700733</v>
      </c>
    </row>
    <row r="344" spans="1:2">
      <c r="A344">
        <v>298</v>
      </c>
      <c r="B344">
        <v>0.975611566540843</v>
      </c>
    </row>
    <row r="345" spans="1:2">
      <c r="A345">
        <v>299</v>
      </c>
      <c r="B345">
        <v>0.976735297591153</v>
      </c>
    </row>
    <row r="346" spans="1:2">
      <c r="A346">
        <v>300</v>
      </c>
      <c r="B346">
        <v>0.977815182472118</v>
      </c>
    </row>
    <row r="347" spans="1:2">
      <c r="A347">
        <v>301</v>
      </c>
      <c r="B347">
        <v>0.978852516973601</v>
      </c>
    </row>
    <row r="348" spans="1:2">
      <c r="A348">
        <v>302</v>
      </c>
      <c r="B348">
        <v>0.979848579190837</v>
      </c>
    </row>
    <row r="349" spans="1:2">
      <c r="A349">
        <v>303</v>
      </c>
      <c r="B349">
        <v>0.980804628722181</v>
      </c>
    </row>
    <row r="350" spans="1:2">
      <c r="A350">
        <v>304</v>
      </c>
      <c r="B350">
        <v>0.981721905927763</v>
      </c>
    </row>
    <row r="351" spans="1:2">
      <c r="A351">
        <v>305</v>
      </c>
      <c r="B351">
        <v>0.982601631248074</v>
      </c>
    </row>
    <row r="352" spans="1:2">
      <c r="A352">
        <v>306</v>
      </c>
      <c r="B352">
        <v>0.98344500458139</v>
      </c>
    </row>
    <row r="353" spans="1:2">
      <c r="A353">
        <v>307</v>
      </c>
      <c r="B353">
        <v>0.98425320471886</v>
      </c>
    </row>
    <row r="354" spans="1:2">
      <c r="A354">
        <v>308</v>
      </c>
      <c r="B354">
        <v>0.985027388835996</v>
      </c>
    </row>
    <row r="355" spans="1:2">
      <c r="A355">
        <v>309</v>
      </c>
      <c r="B355">
        <v>0.985768692039216</v>
      </c>
    </row>
    <row r="356" spans="1:2">
      <c r="A356">
        <v>310</v>
      </c>
      <c r="B356">
        <v>0.98647822696602</v>
      </c>
    </row>
    <row r="357" spans="1:2">
      <c r="A357">
        <v>311</v>
      </c>
      <c r="B357">
        <v>0.987157083437319</v>
      </c>
    </row>
    <row r="358" spans="1:2">
      <c r="A358">
        <v>312</v>
      </c>
      <c r="B358">
        <v>0.987806328160363</v>
      </c>
    </row>
    <row r="359" spans="1:2">
      <c r="A359">
        <v>313</v>
      </c>
      <c r="B359">
        <v>0.988427004480687</v>
      </c>
    </row>
    <row r="360" spans="1:2">
      <c r="A360">
        <v>314</v>
      </c>
      <c r="B360">
        <v>0.989020132181412</v>
      </c>
    </row>
    <row r="361" spans="1:2">
      <c r="A361">
        <v>315</v>
      </c>
      <c r="B361">
        <v>0.989586707328242</v>
      </c>
    </row>
    <row r="362" spans="1:2">
      <c r="A362">
        <v>316</v>
      </c>
      <c r="B362">
        <v>0.990127702158412</v>
      </c>
    </row>
    <row r="363" spans="1:2">
      <c r="A363">
        <v>317</v>
      </c>
      <c r="B363">
        <v>0.990644065011877</v>
      </c>
    </row>
    <row r="364" spans="1:2">
      <c r="A364">
        <v>318</v>
      </c>
      <c r="B364">
        <v>0.991136720302951</v>
      </c>
    </row>
    <row r="365" spans="1:2">
      <c r="A365">
        <v>319</v>
      </c>
      <c r="B365">
        <v>0.991606568530637</v>
      </c>
    </row>
    <row r="366" spans="1:2">
      <c r="A366">
        <v>320</v>
      </c>
      <c r="B366">
        <v>0.992054486325845</v>
      </c>
    </row>
    <row r="367" spans="1:2">
      <c r="A367">
        <v>321</v>
      </c>
      <c r="B367">
        <v>0.992481326533712</v>
      </c>
    </row>
    <row r="368" spans="1:2">
      <c r="A368">
        <v>322</v>
      </c>
      <c r="B368">
        <v>0.992887918329234</v>
      </c>
    </row>
    <row r="369" spans="1:2">
      <c r="A369">
        <v>323</v>
      </c>
      <c r="B369">
        <v>0.993275067364421</v>
      </c>
    </row>
    <row r="370" spans="1:2">
      <c r="A370">
        <v>324</v>
      </c>
      <c r="B370">
        <v>0.993643555945191</v>
      </c>
    </row>
    <row r="371" spans="1:2">
      <c r="A371">
        <v>325</v>
      </c>
      <c r="B371">
        <v>0.99399414323626</v>
      </c>
    </row>
    <row r="372" spans="1:2">
      <c r="A372">
        <v>326</v>
      </c>
      <c r="B372">
        <v>0.99432756549226</v>
      </c>
    </row>
    <row r="373" spans="1:2">
      <c r="A373">
        <v>327</v>
      </c>
      <c r="B373">
        <v>0.994644536313392</v>
      </c>
    </row>
    <row r="374" spans="1:2">
      <c r="A374">
        <v>328</v>
      </c>
      <c r="B374">
        <v>0.994945746923894</v>
      </c>
    </row>
    <row r="375" spans="1:2">
      <c r="A375">
        <v>329</v>
      </c>
      <c r="B375">
        <v>0.995231866471681</v>
      </c>
    </row>
    <row r="376" spans="1:2">
      <c r="A376">
        <v>330</v>
      </c>
      <c r="B376">
        <v>0.995503542347506</v>
      </c>
    </row>
    <row r="377" spans="1:2">
      <c r="A377">
        <v>331</v>
      </c>
      <c r="B377">
        <v>0.995761400522058</v>
      </c>
    </row>
    <row r="378" spans="1:2">
      <c r="A378">
        <v>332</v>
      </c>
      <c r="B378">
        <v>0.996006045899441</v>
      </c>
    </row>
    <row r="379" spans="1:2">
      <c r="A379">
        <v>333</v>
      </c>
      <c r="B379">
        <v>0.996238062685497</v>
      </c>
    </row>
    <row r="380" spans="1:2">
      <c r="A380">
        <v>334</v>
      </c>
      <c r="B380">
        <v>0.99645801476952</v>
      </c>
    </row>
    <row r="381" spans="1:2">
      <c r="A381">
        <v>335</v>
      </c>
      <c r="B381">
        <v>0.996666446117918</v>
      </c>
    </row>
    <row r="382" spans="1:2">
      <c r="A382">
        <v>336</v>
      </c>
      <c r="B382">
        <v>0.99686388117843</v>
      </c>
    </row>
    <row r="383" spans="1:2">
      <c r="A383">
        <v>337</v>
      </c>
      <c r="B383">
        <v>0.997050825293582</v>
      </c>
    </row>
    <row r="384" spans="1:2">
      <c r="A384">
        <v>338</v>
      </c>
      <c r="B384">
        <v>0.997227765122071</v>
      </c>
    </row>
    <row r="385" spans="1:2">
      <c r="A385">
        <v>339</v>
      </c>
      <c r="B385">
        <v>0.997395169066845</v>
      </c>
    </row>
    <row r="386" spans="1:2">
      <c r="A386">
        <v>340</v>
      </c>
      <c r="B386">
        <v>0.997553487708694</v>
      </c>
    </row>
    <row r="387" spans="1:2">
      <c r="A387">
        <v>341</v>
      </c>
      <c r="B387">
        <v>0.997703154244203</v>
      </c>
    </row>
    <row r="388" spans="1:2">
      <c r="A388">
        <v>342</v>
      </c>
      <c r="B388">
        <v>0.997844584926987</v>
      </c>
    </row>
    <row r="389" spans="1:2">
      <c r="A389">
        <v>343</v>
      </c>
      <c r="B389">
        <v>0.997978179511171</v>
      </c>
    </row>
    <row r="390" spans="1:2">
      <c r="A390">
        <v>344</v>
      </c>
      <c r="B390">
        <v>0.998104321696124</v>
      </c>
    </row>
    <row r="391" spans="1:2">
      <c r="A391">
        <v>345</v>
      </c>
      <c r="B391">
        <v>0.998223379571519</v>
      </c>
    </row>
    <row r="392" spans="1:2">
      <c r="A392">
        <v>346</v>
      </c>
      <c r="B392">
        <v>0.998335706061832</v>
      </c>
    </row>
    <row r="393" spans="1:2">
      <c r="A393">
        <v>347</v>
      </c>
      <c r="B393">
        <v>0.998441639369456</v>
      </c>
    </row>
    <row r="394" spans="1:2">
      <c r="A394">
        <v>348</v>
      </c>
      <c r="B394">
        <v>0.998541503415632</v>
      </c>
    </row>
    <row r="395" spans="1:2">
      <c r="A395">
        <v>349</v>
      </c>
      <c r="B395">
        <v>0.998635608278483</v>
      </c>
    </row>
    <row r="396" spans="1:2">
      <c r="A396">
        <v>350</v>
      </c>
      <c r="B396">
        <v>0.998724250627451</v>
      </c>
    </row>
    <row r="397" spans="1:2">
      <c r="A397">
        <v>351</v>
      </c>
      <c r="B397">
        <v>0.998807714153508</v>
      </c>
    </row>
    <row r="398" spans="1:2">
      <c r="A398">
        <v>352</v>
      </c>
      <c r="B398">
        <v>0.998886269994549</v>
      </c>
    </row>
    <row r="399" spans="1:2">
      <c r="A399">
        <v>353</v>
      </c>
      <c r="B399">
        <v>0.99896017715542</v>
      </c>
    </row>
    <row r="400" spans="1:2">
      <c r="A400">
        <v>354</v>
      </c>
      <c r="B400">
        <v>0.999029682922086</v>
      </c>
    </row>
    <row r="401" spans="1:2">
      <c r="A401">
        <v>355</v>
      </c>
      <c r="B401">
        <v>0.999095023269471</v>
      </c>
    </row>
    <row r="402" spans="1:2">
      <c r="A402">
        <v>356</v>
      </c>
      <c r="B402">
        <v>0.999156423262569</v>
      </c>
    </row>
    <row r="403" spans="1:2">
      <c r="A403">
        <v>357</v>
      </c>
      <c r="B403">
        <v>0.999214097450435</v>
      </c>
    </row>
    <row r="404" spans="1:2">
      <c r="A404">
        <v>358</v>
      </c>
      <c r="B404">
        <v>0.999268250252731</v>
      </c>
    </row>
    <row r="405" spans="1:2">
      <c r="A405">
        <v>359</v>
      </c>
      <c r="B405">
        <v>0.999319076338529</v>
      </c>
    </row>
    <row r="406" spans="1:2">
      <c r="A406">
        <v>360</v>
      </c>
      <c r="B406">
        <v>0.999366760997091</v>
      </c>
    </row>
    <row r="407" spans="1:2">
      <c r="A407">
        <v>361</v>
      </c>
      <c r="B407">
        <v>0.999411480500429</v>
      </c>
    </row>
    <row r="408" spans="1:2">
      <c r="A408">
        <v>362</v>
      </c>
      <c r="B408">
        <v>0.999453402457414</v>
      </c>
    </row>
    <row r="409" spans="1:2">
      <c r="A409">
        <v>363</v>
      </c>
      <c r="B409">
        <v>0.999492686159307</v>
      </c>
    </row>
    <row r="410" spans="1:2">
      <c r="A410">
        <v>364</v>
      </c>
      <c r="B410">
        <v>0.999529482916544</v>
      </c>
    </row>
    <row r="411" spans="1:2">
      <c r="A411">
        <v>365</v>
      </c>
      <c r="B411">
        <v>0.999563936386704</v>
      </c>
    </row>
    <row r="412" spans="1:2">
      <c r="A412">
        <v>366</v>
      </c>
      <c r="B412">
        <v>0.999596182893557</v>
      </c>
    </row>
    <row r="413" spans="1:2">
      <c r="A413">
        <v>367</v>
      </c>
      <c r="B413">
        <v>0.99962635173715</v>
      </c>
    </row>
    <row r="414" spans="1:2">
      <c r="A414">
        <v>368</v>
      </c>
      <c r="B414">
        <v>0.999654565494908</v>
      </c>
    </row>
    <row r="415" spans="1:2">
      <c r="A415">
        <v>369</v>
      </c>
      <c r="B415">
        <v>0.999680940313738</v>
      </c>
    </row>
    <row r="416" spans="1:2">
      <c r="A416">
        <v>370</v>
      </c>
      <c r="B416">
        <v>0.999705586193151</v>
      </c>
    </row>
    <row r="417" spans="1:2">
      <c r="A417">
        <v>371</v>
      </c>
      <c r="B417">
        <v>0.999728607259449</v>
      </c>
    </row>
    <row r="418" spans="1:2">
      <c r="A418">
        <v>372</v>
      </c>
      <c r="B418">
        <v>0.999750102031018</v>
      </c>
    </row>
    <row r="419" spans="1:2">
      <c r="A419">
        <v>373</v>
      </c>
      <c r="B419">
        <v>0.999770163674806</v>
      </c>
    </row>
    <row r="420" spans="1:2">
      <c r="A420">
        <v>374</v>
      </c>
      <c r="B420">
        <v>0.99978888025407</v>
      </c>
    </row>
    <row r="421" spans="1:2">
      <c r="A421">
        <v>375</v>
      </c>
      <c r="B421">
        <v>0.999806334967499</v>
      </c>
    </row>
    <row r="422" spans="1:2">
      <c r="A422">
        <v>376</v>
      </c>
      <c r="B422">
        <v>0.999822606379821</v>
      </c>
    </row>
    <row r="423" spans="1:2">
      <c r="A423">
        <v>377</v>
      </c>
      <c r="B423">
        <v>0.999837768644023</v>
      </c>
    </row>
    <row r="424" spans="1:2">
      <c r="A424">
        <v>378</v>
      </c>
      <c r="B424">
        <v>0.999851891715325</v>
      </c>
    </row>
    <row r="425" spans="1:2">
      <c r="A425">
        <v>379</v>
      </c>
      <c r="B425">
        <v>0.999865041557054</v>
      </c>
    </row>
    <row r="426" spans="1:2">
      <c r="A426">
        <v>380</v>
      </c>
      <c r="B426">
        <v>0.99987728033857</v>
      </c>
    </row>
    <row r="427" spans="1:2">
      <c r="A427">
        <v>381</v>
      </c>
      <c r="B427">
        <v>0.999888666625412</v>
      </c>
    </row>
    <row r="428" spans="1:2">
      <c r="A428">
        <v>382</v>
      </c>
      <c r="B428">
        <v>0.999899255561839</v>
      </c>
    </row>
    <row r="429" spans="1:2">
      <c r="A429">
        <v>383</v>
      </c>
      <c r="B429">
        <v>0.99990909904593</v>
      </c>
    </row>
    <row r="430" spans="1:2">
      <c r="A430">
        <v>384</v>
      </c>
      <c r="B430">
        <v>0.99991824589744</v>
      </c>
    </row>
    <row r="431" spans="1:2">
      <c r="A431">
        <v>385</v>
      </c>
      <c r="B431">
        <v>0.999926742018579</v>
      </c>
    </row>
    <row r="432" spans="1:2">
      <c r="A432">
        <v>386</v>
      </c>
      <c r="B432">
        <v>0.999934630547924</v>
      </c>
    </row>
    <row r="433" spans="1:2">
      <c r="A433">
        <v>387</v>
      </c>
      <c r="B433">
        <v>0.999941952007639</v>
      </c>
    </row>
    <row r="434" spans="1:2">
      <c r="A434">
        <v>388</v>
      </c>
      <c r="B434">
        <v>0.9999487444442</v>
      </c>
    </row>
    <row r="435" spans="1:2">
      <c r="A435">
        <v>389</v>
      </c>
      <c r="B435">
        <v>0.999955043562825</v>
      </c>
    </row>
    <row r="436" spans="1:2">
      <c r="A436">
        <v>390</v>
      </c>
      <c r="B436">
        <v>0.999960882855795</v>
      </c>
    </row>
    <row r="437" spans="1:2">
      <c r="A437">
        <v>391</v>
      </c>
      <c r="B437">
        <v>0.999966293724872</v>
      </c>
    </row>
    <row r="438" spans="1:2">
      <c r="A438">
        <v>392</v>
      </c>
      <c r="B438">
        <v>0.999971305597999</v>
      </c>
    </row>
    <row r="439" spans="1:2">
      <c r="A439">
        <v>393</v>
      </c>
      <c r="B439">
        <v>0.999975946040474</v>
      </c>
    </row>
    <row r="440" spans="1:2">
      <c r="A440">
        <v>394</v>
      </c>
      <c r="B440">
        <v>0.999980240860807</v>
      </c>
    </row>
    <row r="441" spans="1:2">
      <c r="A441">
        <v>395</v>
      </c>
      <c r="B441">
        <v>0.999984214211423</v>
      </c>
    </row>
    <row r="442" spans="1:2">
      <c r="A442">
        <v>396</v>
      </c>
      <c r="B442">
        <v>0.999987888684429</v>
      </c>
    </row>
    <row r="443" spans="1:2">
      <c r="A443">
        <v>397</v>
      </c>
      <c r="B443">
        <v>0.999991285402604</v>
      </c>
    </row>
    <row r="444" spans="1:2">
      <c r="A444">
        <v>398</v>
      </c>
      <c r="B444">
        <v>0.999994424105809</v>
      </c>
    </row>
    <row r="445" spans="1:2">
      <c r="A445">
        <v>399</v>
      </c>
      <c r="B445">
        <v>0.999997323232999</v>
      </c>
    </row>
    <row r="446" spans="1:2">
      <c r="A446">
        <v>400</v>
      </c>
      <c r="B446">
        <v>0.999999999999999</v>
      </c>
    </row>
  </sheetData>
  <mergeCells count="31">
    <mergeCell ref="B2:C2"/>
    <mergeCell ref="B3:C3"/>
    <mergeCell ref="F3:G3"/>
    <mergeCell ref="H3:I3"/>
    <mergeCell ref="J3:K3"/>
    <mergeCell ref="B4:C4"/>
    <mergeCell ref="F4:G4"/>
    <mergeCell ref="H4:I4"/>
    <mergeCell ref="B5:C5"/>
    <mergeCell ref="F5:G5"/>
    <mergeCell ref="H5:I5"/>
    <mergeCell ref="B6:C6"/>
    <mergeCell ref="F6:K6"/>
    <mergeCell ref="B7:C7"/>
    <mergeCell ref="B8:C8"/>
    <mergeCell ref="F8:H8"/>
    <mergeCell ref="F9:J9"/>
    <mergeCell ref="B10:C10"/>
    <mergeCell ref="B11:C11"/>
    <mergeCell ref="J46:Q46"/>
    <mergeCell ref="J47:Q47"/>
    <mergeCell ref="J48:Q48"/>
    <mergeCell ref="J49:Q49"/>
    <mergeCell ref="J50:Q50"/>
    <mergeCell ref="J51:Q51"/>
    <mergeCell ref="J52:Q52"/>
    <mergeCell ref="J53:Q53"/>
    <mergeCell ref="J54:Q54"/>
    <mergeCell ref="D57:O57"/>
    <mergeCell ref="D62:F62"/>
    <mergeCell ref="J4:K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abSelected="1" workbookViewId="0">
      <selection activeCell="B37" sqref="B37"/>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3" width="12.8888888888889"/>
    <col min="14" max="14" width="18.6666666666667"/>
    <col min="16" max="17"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13</v>
      </c>
      <c r="B1" t="s">
        <v>205</v>
      </c>
      <c r="C1">
        <f>数据表!I3</f>
        <v>24</v>
      </c>
      <c r="D1" t="s">
        <v>205</v>
      </c>
      <c r="F1" s="1" t="s">
        <v>80</v>
      </c>
      <c r="G1" s="2"/>
      <c r="H1" s="1" t="s">
        <v>206</v>
      </c>
      <c r="I1" s="2"/>
      <c r="J1" s="1" t="s">
        <v>207</v>
      </c>
      <c r="K1" s="2"/>
      <c r="L1" s="1" t="s">
        <v>208</v>
      </c>
      <c r="M1" s="2"/>
      <c r="N1" s="1" t="s">
        <v>209</v>
      </c>
      <c r="O1" s="160"/>
      <c r="P1" s="160"/>
      <c r="Q1" s="2"/>
      <c r="R1" s="218" t="s">
        <v>210</v>
      </c>
      <c r="S1" s="219"/>
      <c r="T1" s="219"/>
      <c r="U1" s="220"/>
      <c r="V1" s="221"/>
    </row>
    <row r="2" ht="16.35" spans="1:23">
      <c r="A2">
        <f>数据表!H4</f>
        <v>20</v>
      </c>
      <c r="B2" t="s">
        <v>211</v>
      </c>
      <c r="C2">
        <f>数据表!I4</f>
        <v>21</v>
      </c>
      <c r="D2" t="s">
        <v>211</v>
      </c>
      <c r="F2" s="3" t="s">
        <v>212</v>
      </c>
      <c r="G2" s="4" t="s">
        <v>213</v>
      </c>
      <c r="H2" s="143" t="s">
        <v>214</v>
      </c>
      <c r="I2" s="161" t="s">
        <v>215</v>
      </c>
      <c r="J2" s="162" t="s">
        <v>214</v>
      </c>
      <c r="K2" s="163" t="s">
        <v>215</v>
      </c>
      <c r="L2" s="164" t="s">
        <v>112</v>
      </c>
      <c r="M2" s="165" t="s">
        <v>111</v>
      </c>
      <c r="N2" s="166" t="s">
        <v>69</v>
      </c>
      <c r="O2" s="167" t="s">
        <v>74</v>
      </c>
      <c r="P2" s="168" t="s">
        <v>113</v>
      </c>
      <c r="Q2" s="222" t="s">
        <v>89</v>
      </c>
      <c r="R2" s="223" t="s">
        <v>216</v>
      </c>
      <c r="S2" s="224" t="s">
        <v>217</v>
      </c>
      <c r="T2" s="225" t="s">
        <v>218</v>
      </c>
      <c r="U2" s="226" t="s">
        <v>219</v>
      </c>
      <c r="V2" s="227" t="s">
        <v>220</v>
      </c>
      <c r="W2" s="228" t="s">
        <v>221</v>
      </c>
    </row>
    <row r="3" ht="15.6" spans="1:24">
      <c r="A3">
        <f>数据表!H5</f>
        <v>25</v>
      </c>
      <c r="B3" t="s">
        <v>222</v>
      </c>
      <c r="C3">
        <f>数据表!I5</f>
        <v>23</v>
      </c>
      <c r="D3" t="s">
        <v>222</v>
      </c>
      <c r="F3" s="5" t="s">
        <v>223</v>
      </c>
      <c r="G3" s="144">
        <v>1</v>
      </c>
      <c r="H3" s="145">
        <f>COUNTIF(U4:U28,"&gt;"&amp;U3)+1</f>
        <v>13</v>
      </c>
      <c r="I3" s="153">
        <f>COUNTIF(V4:V28,"&gt;"&amp;V3)+1</f>
        <v>24</v>
      </c>
      <c r="J3" s="169">
        <f t="shared" ref="J3:J10" si="0">T3/R3*100</f>
        <v>74.7636363636364</v>
      </c>
      <c r="K3" s="170">
        <f t="shared" ref="K3:K28" si="1">T3/S3*100</f>
        <v>22.1954545454545</v>
      </c>
      <c r="L3" s="171">
        <v>0</v>
      </c>
      <c r="M3" s="172">
        <v>3</v>
      </c>
      <c r="N3" s="173">
        <v>2.8</v>
      </c>
      <c r="O3" s="174">
        <v>0.71</v>
      </c>
      <c r="P3" s="175">
        <v>40</v>
      </c>
      <c r="Q3" s="229">
        <v>0</v>
      </c>
      <c r="R3" s="192">
        <f>L3*K32+M3*L32+(G3+F32)*G32</f>
        <v>4275</v>
      </c>
      <c r="S3" s="230">
        <f>IF(G3&gt;M32,G3*G32-M32*G34,M32*G33)+L3*K32+M3*L32</f>
        <v>14400</v>
      </c>
      <c r="T3" s="231">
        <f>(N3*'倾向-优先级表'!J117+O3*'倾向-优先级表'!K117+Q3*'倾向-优先级表'!M117)*G3+P3*'倾向-优先级表'!L117*G3</f>
        <v>3196.14545454545</v>
      </c>
      <c r="U3" s="232">
        <f>(J3-X3)*R3</f>
        <v>-275080.704545455</v>
      </c>
      <c r="V3" s="233">
        <f>(K3-'倾向-优先级表'!D7)*S3</f>
        <v>-441569.454545455</v>
      </c>
      <c r="W3" s="98">
        <f>-X3*R3</f>
        <v>-594695.25</v>
      </c>
      <c r="X3">
        <f>'倾向-优先级表'!D6</f>
        <v>139.11</v>
      </c>
    </row>
    <row r="4" ht="15.6" spans="1:24">
      <c r="A4">
        <f>数据表!H6</f>
        <v>5</v>
      </c>
      <c r="B4" t="s">
        <v>224</v>
      </c>
      <c r="C4">
        <f>数据表!I6</f>
        <v>13</v>
      </c>
      <c r="D4" t="s">
        <v>224</v>
      </c>
      <c r="F4" s="7" t="s">
        <v>223</v>
      </c>
      <c r="G4" s="146">
        <v>2</v>
      </c>
      <c r="H4" s="147">
        <f>COUNTIF(U5:U28,"&gt;"&amp;U4)+1+COUNTIF(U3:U3,"&gt;="&amp;U4)</f>
        <v>20</v>
      </c>
      <c r="I4" s="176">
        <f>COUNTIF(V5:V28,"&gt;"&amp;V4)+1+COUNTIF(V3:V3,"&gt;="&amp;V4)</f>
        <v>21</v>
      </c>
      <c r="J4" s="177">
        <f t="shared" si="0"/>
        <v>56.7235362802335</v>
      </c>
      <c r="K4" s="178">
        <f t="shared" si="1"/>
        <v>27.6020779220779</v>
      </c>
      <c r="L4" s="179">
        <v>0</v>
      </c>
      <c r="M4" s="180">
        <v>6</v>
      </c>
      <c r="N4" s="181">
        <v>1.96</v>
      </c>
      <c r="O4" s="182">
        <v>0.54</v>
      </c>
      <c r="P4" s="183">
        <v>30.16</v>
      </c>
      <c r="Q4" s="234">
        <v>0</v>
      </c>
      <c r="R4" s="179">
        <f>L4*K32+M4*L32+(G4+F32)*G32</f>
        <v>8175</v>
      </c>
      <c r="S4" s="235">
        <f>IF(G4&gt;M32,G4*G32-M32*G34,M32*G33)+L4*K32+M4*L32</f>
        <v>16800</v>
      </c>
      <c r="T4" s="236">
        <f>(N4*'倾向-优先级表'!J117+O4*'倾向-优先级表'!K117+Q4*'倾向-优先级表'!M117)*G4+P4*'倾向-优先级表'!L117*G4</f>
        <v>4637.14909090909</v>
      </c>
      <c r="U4" s="237">
        <f t="shared" ref="U4:U28" si="2">(J4-X4)*R4</f>
        <v>-673509.340909091</v>
      </c>
      <c r="V4" s="238">
        <f>(K4-'倾向-优先级表'!D7)*S4</f>
        <v>-424333.090909091</v>
      </c>
      <c r="W4" s="98">
        <f t="shared" ref="W4:W28" si="3">-X4*R4</f>
        <v>-1137224.25</v>
      </c>
      <c r="X4">
        <f>'倾向-优先级表'!D6</f>
        <v>139.11</v>
      </c>
    </row>
    <row r="5" ht="15.6" spans="1:24">
      <c r="A5">
        <f>数据表!H7</f>
        <v>7</v>
      </c>
      <c r="B5" t="s">
        <v>225</v>
      </c>
      <c r="C5">
        <f>数据表!I7</f>
        <v>19</v>
      </c>
      <c r="D5" t="s">
        <v>225</v>
      </c>
      <c r="F5" s="9" t="s">
        <v>223</v>
      </c>
      <c r="G5" s="148">
        <v>4</v>
      </c>
      <c r="H5" s="147">
        <f>COUNTIF(U6:U28,"&gt;"&amp;U5)+1+COUNTIF(U3:U4,"&gt;="&amp;U5)</f>
        <v>25</v>
      </c>
      <c r="I5" s="176">
        <f>COUNTIF(V6:V28,"&gt;"&amp;V5)+1+COUNTIF(V3:V4,"&gt;="&amp;V5)</f>
        <v>23</v>
      </c>
      <c r="J5" s="177">
        <f t="shared" si="0"/>
        <v>43.0237849802372</v>
      </c>
      <c r="K5" s="178">
        <f t="shared" si="1"/>
        <v>30.9233454545455</v>
      </c>
      <c r="L5" s="179">
        <v>0</v>
      </c>
      <c r="M5" s="180">
        <v>10</v>
      </c>
      <c r="N5" s="184">
        <v>1.395</v>
      </c>
      <c r="O5" s="185">
        <v>0.31</v>
      </c>
      <c r="P5" s="183">
        <v>20.77</v>
      </c>
      <c r="Q5" s="234">
        <v>0</v>
      </c>
      <c r="R5" s="179">
        <f>L5*K32+M5*L32+(G5+F32)*G32</f>
        <v>14375</v>
      </c>
      <c r="S5" s="235">
        <f>IF(G5&gt;M32,G5*G32-M32*G34,M32*G33)+L5*K32+M5*L32</f>
        <v>20000</v>
      </c>
      <c r="T5" s="236">
        <f>(N5*'倾向-优先级表'!J117+O5*'倾向-优先级表'!K117+Q5*'倾向-优先级表'!M117)*G5+P5*'倾向-优先级表'!L117*G5</f>
        <v>6184.66909090909</v>
      </c>
      <c r="U5" s="237">
        <f t="shared" si="2"/>
        <v>-1381239.34090909</v>
      </c>
      <c r="V5" s="238">
        <f>(K5-'倾向-优先级表'!D7)*S5</f>
        <v>-438733.090909091</v>
      </c>
      <c r="W5" s="98">
        <f t="shared" si="3"/>
        <v>-1999706.25</v>
      </c>
      <c r="X5">
        <f>'倾向-优先级表'!D6</f>
        <v>139.11</v>
      </c>
    </row>
    <row r="6" ht="16.35" spans="1:24">
      <c r="A6">
        <f>数据表!H8</f>
        <v>6</v>
      </c>
      <c r="B6" t="s">
        <v>226</v>
      </c>
      <c r="C6">
        <f>数据表!I8</f>
        <v>12</v>
      </c>
      <c r="D6" t="s">
        <v>226</v>
      </c>
      <c r="F6" s="11" t="s">
        <v>227</v>
      </c>
      <c r="G6" s="149">
        <v>0.5</v>
      </c>
      <c r="H6" s="150">
        <f>COUNTIF(U7:U28,"&gt;"&amp;U6)+1+COUNTIF(U3:U5,"&gt;="&amp;U6)</f>
        <v>5</v>
      </c>
      <c r="I6" s="186">
        <f>COUNTIF(V7:V28,"&gt;"&amp;V6)+1+COUNTIF(V3:V5,"&gt;="&amp;V6)</f>
        <v>13</v>
      </c>
      <c r="J6" s="187">
        <f t="shared" si="0"/>
        <v>158.362707930367</v>
      </c>
      <c r="K6" s="188">
        <f t="shared" si="1"/>
        <v>38.7658712121212</v>
      </c>
      <c r="L6" s="189">
        <v>8000</v>
      </c>
      <c r="M6" s="190">
        <v>3</v>
      </c>
      <c r="N6" s="173">
        <v>9.78</v>
      </c>
      <c r="O6" s="174">
        <v>1.97</v>
      </c>
      <c r="P6" s="175">
        <v>194.49</v>
      </c>
      <c r="Q6" s="239">
        <v>0</v>
      </c>
      <c r="R6" s="189">
        <f>L6*K32+M6*L32+(G6+F32)*G32</f>
        <v>3525</v>
      </c>
      <c r="S6" s="240">
        <f>IF(G6&gt;M32,G6*G32-M32*G34,M32*G33)+L6*K32+M6*L32</f>
        <v>14400</v>
      </c>
      <c r="T6" s="241">
        <f>(N6*'倾向-优先级表'!J117+O6*'倾向-优先级表'!K117+Q6*'倾向-优先级表'!M117)*G6+P6*'倾向-优先级表'!L117*G6</f>
        <v>5582.28545454545</v>
      </c>
      <c r="U6" s="242">
        <f t="shared" si="2"/>
        <v>67865.7954545454</v>
      </c>
      <c r="V6" s="243">
        <f>(K6-'倾向-优先级表'!D7)*S6</f>
        <v>-202955.454545455</v>
      </c>
      <c r="W6" s="98">
        <f t="shared" si="3"/>
        <v>-490362.75</v>
      </c>
      <c r="X6">
        <f>'倾向-优先级表'!D6</f>
        <v>139.11</v>
      </c>
    </row>
    <row r="7" ht="15.6" spans="1:24">
      <c r="A7">
        <f>数据表!H9</f>
        <v>4</v>
      </c>
      <c r="B7" t="s">
        <v>228</v>
      </c>
      <c r="C7">
        <f>数据表!I9</f>
        <v>3</v>
      </c>
      <c r="D7" t="s">
        <v>228</v>
      </c>
      <c r="F7" s="13" t="s">
        <v>229</v>
      </c>
      <c r="G7" s="14">
        <v>1</v>
      </c>
      <c r="H7" s="151">
        <f>COUNTIF(U8:U28,"&gt;"&amp;U7)+1+COUNTIF(U3:U6,"&gt;="&amp;U7)</f>
        <v>7</v>
      </c>
      <c r="I7" s="154">
        <f>COUNTIF(V8:V28,"&gt;"&amp;V7)+1+COUNTIF(V3:V6,"&gt;="&amp;V7)</f>
        <v>19</v>
      </c>
      <c r="J7" s="191">
        <f t="shared" si="0"/>
        <v>142.801454545455</v>
      </c>
      <c r="K7" s="170">
        <f t="shared" si="1"/>
        <v>22.3127272727273</v>
      </c>
      <c r="L7" s="192">
        <v>0</v>
      </c>
      <c r="M7" s="193">
        <v>0</v>
      </c>
      <c r="N7" s="194">
        <v>0</v>
      </c>
      <c r="O7" s="195">
        <v>0</v>
      </c>
      <c r="P7" s="196">
        <v>0</v>
      </c>
      <c r="Q7" s="244">
        <v>0.052</v>
      </c>
      <c r="R7" s="192">
        <f>L7*K32+M7*L32+(G7+F32)*G32</f>
        <v>1875</v>
      </c>
      <c r="S7" s="230">
        <f>IF(G7&gt;M32,G7*G32-M32*G34,M32*G33)+L7*K32+M7*L32</f>
        <v>12000</v>
      </c>
      <c r="T7" s="231">
        <f>(N7*'倾向-优先级表'!J117+O7*'倾向-优先级表'!K117+Q7*'倾向-优先级表'!M117)*G7</f>
        <v>2677.52727272727</v>
      </c>
      <c r="U7" s="232">
        <f t="shared" si="2"/>
        <v>6921.47727272722</v>
      </c>
      <c r="V7" s="233">
        <f>(K7-'倾向-优先级表'!D7)*S7</f>
        <v>-366567.272727273</v>
      </c>
      <c r="W7" s="98">
        <f t="shared" si="3"/>
        <v>-260831.25</v>
      </c>
      <c r="X7">
        <f>'倾向-优先级表'!D6</f>
        <v>139.11</v>
      </c>
    </row>
    <row r="8" ht="15.6" spans="1:24">
      <c r="A8">
        <f>数据表!H10</f>
        <v>1</v>
      </c>
      <c r="B8" t="s">
        <v>230</v>
      </c>
      <c r="C8">
        <f>数据表!I10</f>
        <v>1</v>
      </c>
      <c r="D8" t="s">
        <v>230</v>
      </c>
      <c r="F8" s="15" t="s">
        <v>229</v>
      </c>
      <c r="G8" s="16">
        <v>2</v>
      </c>
      <c r="H8" s="151">
        <f>COUNTIF(U9:U28,"&gt;"&amp;U8)+1+COUNTIF(U3:U7,"&gt;="&amp;U8)</f>
        <v>6</v>
      </c>
      <c r="I8" s="154">
        <f>COUNTIF(V9:V28,"&gt;"&amp;V8)+1+COUNTIF(V3:V7,"&gt;="&amp;V8)</f>
        <v>12</v>
      </c>
      <c r="J8" s="177">
        <f t="shared" si="0"/>
        <v>143.411717171717</v>
      </c>
      <c r="K8" s="178">
        <f t="shared" si="1"/>
        <v>40.3345454545454</v>
      </c>
      <c r="L8" s="179">
        <v>0</v>
      </c>
      <c r="M8" s="180">
        <v>0</v>
      </c>
      <c r="N8" s="184">
        <v>0</v>
      </c>
      <c r="O8" s="185">
        <v>0</v>
      </c>
      <c r="P8" s="197">
        <v>0</v>
      </c>
      <c r="Q8" s="234">
        <v>0.047</v>
      </c>
      <c r="R8" s="179">
        <f>L8*K32+M8*L32+(G8+F32)*G32</f>
        <v>3375</v>
      </c>
      <c r="S8" s="235">
        <f>IF(G8&gt;M32,G8*G32-M32*G34,M32*G33)+L8*K32+M8*L32</f>
        <v>12000</v>
      </c>
      <c r="T8" s="236">
        <f>(N8*'倾向-优先级表'!J117+O8*'倾向-优先级表'!K117+Q8*'倾向-优先级表'!M117)*G8</f>
        <v>4840.14545454545</v>
      </c>
      <c r="U8" s="237">
        <f t="shared" si="2"/>
        <v>14518.2954545454</v>
      </c>
      <c r="V8" s="238">
        <f>(K8-'倾向-优先级表'!D7)*S8</f>
        <v>-150305.454545455</v>
      </c>
      <c r="W8" s="98">
        <f t="shared" si="3"/>
        <v>-469496.25</v>
      </c>
      <c r="X8">
        <f>'倾向-优先级表'!D6</f>
        <v>139.11</v>
      </c>
    </row>
    <row r="9" ht="15.6" spans="1:24">
      <c r="A9">
        <f>数据表!H11</f>
        <v>11</v>
      </c>
      <c r="B9" t="s">
        <v>231</v>
      </c>
      <c r="C9">
        <f>数据表!I11</f>
        <v>16</v>
      </c>
      <c r="D9" t="s">
        <v>231</v>
      </c>
      <c r="F9" s="7" t="s">
        <v>229</v>
      </c>
      <c r="G9" s="8">
        <v>4</v>
      </c>
      <c r="H9" s="151">
        <f>COUNTIF(U10:U28,"&gt;"&amp;U9)+1+COUNTIF(U3:U8,"&gt;="&amp;U9)</f>
        <v>4</v>
      </c>
      <c r="I9" s="154">
        <f>COUNTIF(V10:V28,"&gt;"&amp;V9)+1+COUNTIF(V3:V8,"&gt;="&amp;V9)</f>
        <v>3</v>
      </c>
      <c r="J9" s="177">
        <f t="shared" si="0"/>
        <v>164.770909090909</v>
      </c>
      <c r="K9" s="178">
        <f t="shared" si="1"/>
        <v>87.5345454545454</v>
      </c>
      <c r="L9" s="179">
        <v>0</v>
      </c>
      <c r="M9" s="180">
        <v>0</v>
      </c>
      <c r="N9" s="173">
        <v>0</v>
      </c>
      <c r="O9" s="174">
        <v>0</v>
      </c>
      <c r="P9" s="198">
        <v>0</v>
      </c>
      <c r="Q9" s="234">
        <v>0.051</v>
      </c>
      <c r="R9" s="179">
        <f>L9*K32+M9*L32+(G9+F32)*G32</f>
        <v>6375</v>
      </c>
      <c r="S9" s="235">
        <f>IF(G9&gt;M32,G9*G32-M32*G34,M32*G33)+L9*K32+M9*L32</f>
        <v>12000</v>
      </c>
      <c r="T9" s="236">
        <f>(N9*'倾向-优先级表'!J117+O9*'倾向-优先级表'!K117+Q9*'倾向-优先级表'!M117)*G9</f>
        <v>10504.1454545455</v>
      </c>
      <c r="U9" s="237">
        <f t="shared" si="2"/>
        <v>163588.295454545</v>
      </c>
      <c r="V9" s="238">
        <f>(K9-'倾向-优先级表'!D7)*S9</f>
        <v>416094.545454545</v>
      </c>
      <c r="W9" s="98">
        <f t="shared" si="3"/>
        <v>-886826.25</v>
      </c>
      <c r="X9">
        <f>'倾向-优先级表'!D6</f>
        <v>139.11</v>
      </c>
    </row>
    <row r="10" ht="16.35" spans="1:24">
      <c r="A10">
        <f>数据表!H12</f>
        <v>19</v>
      </c>
      <c r="B10" t="s">
        <v>232</v>
      </c>
      <c r="C10">
        <f>数据表!I12</f>
        <v>11</v>
      </c>
      <c r="D10" t="s">
        <v>232</v>
      </c>
      <c r="F10" s="17" t="s">
        <v>229</v>
      </c>
      <c r="G10" s="18">
        <v>0.5</v>
      </c>
      <c r="H10" s="152">
        <f>COUNTIF(U11:U28,"&gt;"&amp;U10)+1+COUNTIF(U3:U9,"&gt;="&amp;U10)</f>
        <v>1</v>
      </c>
      <c r="I10" s="155">
        <f>COUNTIF(V11:V28,"&gt;"&amp;V10)+1+COUNTIF(V3:V9,"&gt;="&amp;V10)</f>
        <v>1</v>
      </c>
      <c r="J10" s="199">
        <f t="shared" si="0"/>
        <v>1867.40363636364</v>
      </c>
      <c r="K10" s="188">
        <f t="shared" si="1"/>
        <v>175.069090909091</v>
      </c>
      <c r="L10" s="189">
        <v>5000</v>
      </c>
      <c r="M10" s="190">
        <v>0</v>
      </c>
      <c r="N10" s="200">
        <v>0</v>
      </c>
      <c r="O10" s="201">
        <v>0</v>
      </c>
      <c r="P10" s="202">
        <v>0</v>
      </c>
      <c r="Q10" s="239">
        <v>0.816</v>
      </c>
      <c r="R10" s="189">
        <f>L10*K32+M10*L32+(G10+F32)*G32</f>
        <v>1125</v>
      </c>
      <c r="S10" s="240">
        <f>IF(G10&gt;M32,G10*G32-M32*G34,M32*G33)+L10*K32+M10*L32</f>
        <v>12000</v>
      </c>
      <c r="T10" s="241">
        <f>(N10*'倾向-优先级表'!J117+O10*'倾向-优先级表'!K117+Q10*'倾向-优先级表'!M117)*G10</f>
        <v>21008.2909090909</v>
      </c>
      <c r="U10" s="245">
        <f t="shared" si="2"/>
        <v>1944330.34090909</v>
      </c>
      <c r="V10" s="246">
        <f>(K10-'倾向-优先级表'!D7)*S10</f>
        <v>1466509.09090909</v>
      </c>
      <c r="W10" s="98">
        <f t="shared" si="3"/>
        <v>-156498.75</v>
      </c>
      <c r="X10">
        <f>'倾向-优先级表'!D6</f>
        <v>139.11</v>
      </c>
    </row>
    <row r="11" ht="15.6" spans="1:24">
      <c r="A11">
        <f>数据表!H13</f>
        <v>22</v>
      </c>
      <c r="B11" t="s">
        <v>233</v>
      </c>
      <c r="C11">
        <f>数据表!I13</f>
        <v>6</v>
      </c>
      <c r="D11" t="s">
        <v>233</v>
      </c>
      <c r="F11" s="19" t="s">
        <v>234</v>
      </c>
      <c r="G11" s="6">
        <v>2.5</v>
      </c>
      <c r="H11" s="153">
        <f>COUNTIF(U12:U28,"&gt;"&amp;U11)+1+COUNTIF(U3:U10,"&gt;="&amp;U11)</f>
        <v>11</v>
      </c>
      <c r="I11" s="153">
        <f>COUNTIF(V12:V28,"&gt;"&amp;V11)+1+COUNTIF(V3:V10,"&gt;="&amp;V11)</f>
        <v>16</v>
      </c>
      <c r="J11" s="169">
        <f t="shared" ref="J11:J28" si="4">T11/R11*100</f>
        <v>79.5768595041322</v>
      </c>
      <c r="K11" s="170">
        <f t="shared" si="1"/>
        <v>27.3545454545455</v>
      </c>
      <c r="L11" s="192">
        <v>3000</v>
      </c>
      <c r="M11" s="193">
        <v>0</v>
      </c>
      <c r="N11" s="203">
        <v>0.92</v>
      </c>
      <c r="O11" s="204">
        <v>0</v>
      </c>
      <c r="P11" s="205">
        <v>0</v>
      </c>
      <c r="Q11" s="229">
        <v>0.014</v>
      </c>
      <c r="R11" s="192">
        <f>L11*K32+M11*L32+(G11+F32)*G32</f>
        <v>4125</v>
      </c>
      <c r="S11" s="230">
        <f>IF(G11&gt;M32,G11*G32-M32*G34,M32*G33)+L11*K32+M10*L32</f>
        <v>12000</v>
      </c>
      <c r="T11" s="231">
        <f>(N11*'倾向-优先级表'!J117+O11*'倾向-优先级表'!K117+Q11*'倾向-优先级表'!M117)*G11</f>
        <v>3282.54545454545</v>
      </c>
      <c r="U11" s="247">
        <f t="shared" si="2"/>
        <v>-245574.204545455</v>
      </c>
      <c r="V11" s="248">
        <f>(K11-'倾向-优先级表'!D7)*S11</f>
        <v>-306065.454545455</v>
      </c>
      <c r="W11" s="98">
        <f t="shared" si="3"/>
        <v>-573828.75</v>
      </c>
      <c r="X11">
        <f>'倾向-优先级表'!D6</f>
        <v>139.11</v>
      </c>
    </row>
    <row r="12" ht="15.6" spans="1:24">
      <c r="A12">
        <f>数据表!H14</f>
        <v>3</v>
      </c>
      <c r="B12" t="s">
        <v>235</v>
      </c>
      <c r="C12">
        <f>数据表!I14</f>
        <v>4</v>
      </c>
      <c r="D12" t="s">
        <v>235</v>
      </c>
      <c r="F12" s="7" t="s">
        <v>234</v>
      </c>
      <c r="G12" s="8">
        <v>5</v>
      </c>
      <c r="H12" s="154">
        <f>COUNTIF(U13:U28,"&gt;"&amp;U12)+1+COUNTIF(U3:U11,"&gt;="&amp;U12)</f>
        <v>19</v>
      </c>
      <c r="I12" s="154">
        <f>COUNTIF(V13:V28,"&gt;"&amp;V12)+1+COUNTIF(V3:V11,"&gt;="&amp;V12)</f>
        <v>11</v>
      </c>
      <c r="J12" s="177">
        <f t="shared" si="4"/>
        <v>63.3419913419913</v>
      </c>
      <c r="K12" s="178">
        <f t="shared" si="1"/>
        <v>41.5681818181818</v>
      </c>
      <c r="L12" s="179">
        <v>5000</v>
      </c>
      <c r="M12" s="180">
        <v>0</v>
      </c>
      <c r="N12" s="173">
        <v>0.75</v>
      </c>
      <c r="O12" s="174">
        <v>0</v>
      </c>
      <c r="P12" s="198">
        <v>0</v>
      </c>
      <c r="Q12" s="234">
        <v>0.01</v>
      </c>
      <c r="R12" s="179">
        <f>L12*K32+M12*L32+(G12+F32)*G32</f>
        <v>7875</v>
      </c>
      <c r="S12" s="235">
        <f>IF(G12&gt;M32,G12*G32-M32*G34,M32*G33)+L12*K32+M12*L32</f>
        <v>12000</v>
      </c>
      <c r="T12" s="236">
        <f>(N12*'倾向-优先级表'!J117+O12*'倾向-优先级表'!K117+Q12*'倾向-优先级表'!M117)*G12</f>
        <v>4988.18181818182</v>
      </c>
      <c r="U12" s="237">
        <f t="shared" si="2"/>
        <v>-596673.068181818</v>
      </c>
      <c r="V12" s="238">
        <f>(K12-'倾向-优先级表'!D7)*S12</f>
        <v>-135501.818181818</v>
      </c>
      <c r="W12" s="98">
        <f t="shared" si="3"/>
        <v>-1095491.25</v>
      </c>
      <c r="X12">
        <f>'倾向-优先级表'!D6</f>
        <v>139.11</v>
      </c>
    </row>
    <row r="13" ht="15.6" spans="1:24">
      <c r="A13">
        <f>数据表!H15</f>
        <v>10</v>
      </c>
      <c r="B13" t="s">
        <v>236</v>
      </c>
      <c r="C13">
        <f>数据表!I15</f>
        <v>14</v>
      </c>
      <c r="D13" t="s">
        <v>236</v>
      </c>
      <c r="F13" s="9" t="s">
        <v>234</v>
      </c>
      <c r="G13" s="10">
        <v>8</v>
      </c>
      <c r="H13" s="154">
        <f>COUNTIF(U14:U28,"&gt;"&amp;U13)+1+COUNTIF(U3:U12,"&gt;="&amp;U13)</f>
        <v>22</v>
      </c>
      <c r="I13" s="154">
        <f>COUNTIF(V14:V28,"&gt;"&amp;V13)+1+COUNTIF(V3:V12,"&gt;="&amp;V13)</f>
        <v>6</v>
      </c>
      <c r="J13" s="177">
        <f t="shared" si="4"/>
        <v>67.8223691460055</v>
      </c>
      <c r="K13" s="188">
        <f t="shared" si="1"/>
        <v>69.9418181818182</v>
      </c>
      <c r="L13" s="179">
        <v>8000</v>
      </c>
      <c r="M13" s="180">
        <v>0</v>
      </c>
      <c r="N13" s="181">
        <v>0.75</v>
      </c>
      <c r="O13" s="182">
        <v>0</v>
      </c>
      <c r="P13" s="206">
        <v>0</v>
      </c>
      <c r="Q13" s="249">
        <v>0.011</v>
      </c>
      <c r="R13" s="179">
        <f>L13*K32+M13*L32+(G13+F32)*G32</f>
        <v>12375</v>
      </c>
      <c r="S13" s="235">
        <f>IF(G13&gt;M32,G13*G32-M32*G34,M32*G33)+L13*K32+M13*L32</f>
        <v>12000</v>
      </c>
      <c r="T13" s="236">
        <f>(N13*'倾向-优先级表'!J117+O13*'倾向-优先级表'!K117+Q13*'倾向-优先级表'!M117)*G13</f>
        <v>8393.01818181818</v>
      </c>
      <c r="U13" s="237">
        <f t="shared" si="2"/>
        <v>-882184.431818182</v>
      </c>
      <c r="V13" s="238">
        <f>(K13-'倾向-优先级表'!D7)*S13</f>
        <v>204981.818181818</v>
      </c>
      <c r="W13" s="98">
        <f t="shared" si="3"/>
        <v>-1721486.25</v>
      </c>
      <c r="X13">
        <f>'倾向-优先级表'!D6</f>
        <v>139.11</v>
      </c>
    </row>
    <row r="14" ht="15.6" spans="1:24">
      <c r="A14">
        <f>数据表!H16</f>
        <v>18</v>
      </c>
      <c r="B14" t="s">
        <v>237</v>
      </c>
      <c r="C14">
        <f>数据表!I16</f>
        <v>9</v>
      </c>
      <c r="D14" t="s">
        <v>237</v>
      </c>
      <c r="F14" s="9" t="s">
        <v>234</v>
      </c>
      <c r="G14" s="10">
        <v>0.5</v>
      </c>
      <c r="H14" s="154">
        <f>COUNTIF(U15:U28,"&gt;"&amp;U14)+1+COUNTIF(U3:U13,"&gt;="&amp;U14)</f>
        <v>3</v>
      </c>
      <c r="I14" s="154">
        <f>COUNTIF(V15:V28,"&gt;"&amp;V14)+1+COUNTIF(V3:V13,"&gt;="&amp;V14)</f>
        <v>4</v>
      </c>
      <c r="J14" s="177">
        <f t="shared" si="4"/>
        <v>236.167450110865</v>
      </c>
      <c r="K14" s="178">
        <f t="shared" si="1"/>
        <v>75.6473863636364</v>
      </c>
      <c r="L14" s="179">
        <v>5000</v>
      </c>
      <c r="M14" s="180">
        <v>5</v>
      </c>
      <c r="N14" s="184">
        <v>17.61</v>
      </c>
      <c r="O14" s="185">
        <v>0</v>
      </c>
      <c r="P14" s="197">
        <v>0</v>
      </c>
      <c r="Q14" s="234">
        <v>0.25</v>
      </c>
      <c r="R14" s="179">
        <f>L14*K32+M14*L32+(G14+F32)*G32</f>
        <v>5125</v>
      </c>
      <c r="S14" s="235">
        <f>IF(G14&gt;M32,G14*G32-M32*G34,M32*G33)+L14*K32+M14*L32</f>
        <v>16000</v>
      </c>
      <c r="T14" s="236">
        <f>(N14*'倾向-优先级表'!J117+O14*'倾向-优先级表'!K117+Q14*'倾向-优先级表'!M117)*G14</f>
        <v>12103.5818181818</v>
      </c>
      <c r="U14" s="237">
        <f t="shared" si="2"/>
        <v>497419.431818182</v>
      </c>
      <c r="V14" s="238">
        <f>(K14-'倾向-优先级表'!D7)*S14</f>
        <v>364598.181818182</v>
      </c>
      <c r="W14" s="98">
        <f t="shared" si="3"/>
        <v>-712938.75</v>
      </c>
      <c r="X14">
        <f>'倾向-优先级表'!D6</f>
        <v>139.11</v>
      </c>
    </row>
    <row r="15" ht="15.6" spans="1:24">
      <c r="A15">
        <f>数据表!H17</f>
        <v>21</v>
      </c>
      <c r="B15" t="s">
        <v>238</v>
      </c>
      <c r="C15">
        <f>数据表!I17</f>
        <v>5</v>
      </c>
      <c r="D15" t="s">
        <v>238</v>
      </c>
      <c r="F15" s="15" t="s">
        <v>239</v>
      </c>
      <c r="G15" s="16">
        <v>2.5</v>
      </c>
      <c r="H15" s="154">
        <f>COUNTIF(U16:U28,"&gt;"&amp;U15)+1+COUNTIF(U3:U14,"&gt;="&amp;U15)</f>
        <v>10</v>
      </c>
      <c r="I15" s="154">
        <f>COUNTIF(V16:V28,"&gt;"&amp;V15)+1+COUNTIF(V3:V14,"&gt;="&amp;V15)</f>
        <v>14</v>
      </c>
      <c r="J15" s="177">
        <f t="shared" si="4"/>
        <v>91.2793388429752</v>
      </c>
      <c r="K15" s="188">
        <f t="shared" si="1"/>
        <v>31.3772727272727</v>
      </c>
      <c r="L15" s="179">
        <v>3000</v>
      </c>
      <c r="M15" s="180">
        <v>0</v>
      </c>
      <c r="N15" s="203">
        <v>0</v>
      </c>
      <c r="O15" s="204">
        <v>0.61</v>
      </c>
      <c r="P15" s="205">
        <v>0</v>
      </c>
      <c r="Q15" s="234">
        <v>0.014</v>
      </c>
      <c r="R15" s="179">
        <f>L15*K32+M15*L32+(G15+F32)*G32</f>
        <v>4125</v>
      </c>
      <c r="S15" s="235">
        <f>IF(G15&gt;M32,G15*G32-M32*G34,M32*G33)+L15*K32+M15*L32</f>
        <v>12000</v>
      </c>
      <c r="T15" s="236">
        <f>(N15*'倾向-优先级表'!J117+O15*'倾向-优先级表'!K117+Q15*'倾向-优先级表'!M117)*G15</f>
        <v>3765.27272727273</v>
      </c>
      <c r="U15" s="237">
        <f t="shared" si="2"/>
        <v>-197301.477272727</v>
      </c>
      <c r="V15" s="238">
        <f>(K15-'倾向-优先级表'!D7)*S15</f>
        <v>-257792.727272727</v>
      </c>
      <c r="W15" s="98">
        <f t="shared" si="3"/>
        <v>-573828.75</v>
      </c>
      <c r="X15">
        <f>'倾向-优先级表'!D6</f>
        <v>139.11</v>
      </c>
    </row>
    <row r="16" ht="15.6" spans="1:24">
      <c r="A16">
        <f>数据表!H18</f>
        <v>2</v>
      </c>
      <c r="B16" t="s">
        <v>240</v>
      </c>
      <c r="C16">
        <f>数据表!I18</f>
        <v>2</v>
      </c>
      <c r="D16" t="s">
        <v>240</v>
      </c>
      <c r="F16" s="7" t="s">
        <v>239</v>
      </c>
      <c r="G16" s="8">
        <v>5</v>
      </c>
      <c r="H16" s="154">
        <f>COUNTIF(U17:U28,"&gt;"&amp;U16)+1+COUNTIF(U3:U15,"&gt;="&amp;U16)</f>
        <v>18</v>
      </c>
      <c r="I16" s="154">
        <f>COUNTIF(V17:V28,"&gt;"&amp;V16)+1+COUNTIF(V3:V15,"&gt;="&amp;V16)</f>
        <v>9</v>
      </c>
      <c r="J16" s="177">
        <f t="shared" si="4"/>
        <v>74.3757575757576</v>
      </c>
      <c r="K16" s="178">
        <f t="shared" si="1"/>
        <v>48.8090909090909</v>
      </c>
      <c r="L16" s="179">
        <v>5000</v>
      </c>
      <c r="M16" s="180">
        <v>0</v>
      </c>
      <c r="N16" s="173">
        <v>0</v>
      </c>
      <c r="O16" s="174">
        <v>0.51</v>
      </c>
      <c r="P16" s="198">
        <v>0</v>
      </c>
      <c r="Q16" s="234">
        <v>0.01</v>
      </c>
      <c r="R16" s="179">
        <f>L16*K32+M16*L32+(G16+F32)*G32</f>
        <v>7875</v>
      </c>
      <c r="S16" s="235">
        <f>IF(G16&gt;M32,G16*G32-M32*G34,M32*G33)+L16*K32+M16*L32</f>
        <v>12000</v>
      </c>
      <c r="T16" s="236">
        <f>(N16*'倾向-优先级表'!J117+O16*'倾向-优先级表'!K117+Q16*'倾向-优先级表'!M117)*G16</f>
        <v>5857.09090909091</v>
      </c>
      <c r="U16" s="237">
        <f t="shared" si="2"/>
        <v>-509782.159090909</v>
      </c>
      <c r="V16" s="238">
        <f>(K16-'倾向-优先级表'!D7)*S16</f>
        <v>-48610.909090909</v>
      </c>
      <c r="W16" s="98">
        <f t="shared" si="3"/>
        <v>-1095491.25</v>
      </c>
      <c r="X16">
        <f>'倾向-优先级表'!D6</f>
        <v>139.11</v>
      </c>
    </row>
    <row r="17" ht="15.6" spans="1:24">
      <c r="A17">
        <f>数据表!H19</f>
        <v>9</v>
      </c>
      <c r="B17" t="s">
        <v>241</v>
      </c>
      <c r="C17">
        <f>数据表!I19</f>
        <v>22</v>
      </c>
      <c r="D17" t="s">
        <v>241</v>
      </c>
      <c r="F17" s="9" t="s">
        <v>239</v>
      </c>
      <c r="G17" s="10">
        <v>8</v>
      </c>
      <c r="H17" s="154">
        <f>COUNTIF(U18:U28,"&gt;"&amp;U17)+1+COUNTIF(U3:U16,"&gt;="&amp;U17)</f>
        <v>21</v>
      </c>
      <c r="I17" s="154">
        <f>COUNTIF(V18:V28,"&gt;"&amp;V17)+1+COUNTIF(V3:V16,"&gt;="&amp;V17)</f>
        <v>5</v>
      </c>
      <c r="J17" s="177">
        <f t="shared" si="4"/>
        <v>79.0567493112948</v>
      </c>
      <c r="K17" s="178">
        <f t="shared" si="1"/>
        <v>81.5272727272727</v>
      </c>
      <c r="L17" s="179">
        <v>8000</v>
      </c>
      <c r="M17" s="180">
        <v>0</v>
      </c>
      <c r="N17" s="184">
        <v>0</v>
      </c>
      <c r="O17" s="185">
        <v>0.51</v>
      </c>
      <c r="P17" s="197">
        <v>0</v>
      </c>
      <c r="Q17" s="234">
        <v>0.011</v>
      </c>
      <c r="R17" s="179">
        <f>L17*K32+M17*L32+(G17+F32)*G32</f>
        <v>12375</v>
      </c>
      <c r="S17" s="235">
        <f>IF(G17&gt;M32,G17*G32-M32*G34,M32*G33)+L17*K32+M17*L32</f>
        <v>12000</v>
      </c>
      <c r="T17" s="236">
        <f>(N17*'倾向-优先级表'!J117+O17*'倾向-优先级表'!K117+Q17*'倾向-优先级表'!M117)*G17</f>
        <v>9783.27272727273</v>
      </c>
      <c r="U17" s="237">
        <f t="shared" si="2"/>
        <v>-743158.977272727</v>
      </c>
      <c r="V17" s="238">
        <f>(K17-'倾向-优先级表'!D7)*S17</f>
        <v>344007.272727273</v>
      </c>
      <c r="W17" s="98">
        <f t="shared" si="3"/>
        <v>-1721486.25</v>
      </c>
      <c r="X17">
        <f>'倾向-优先级表'!D6</f>
        <v>139.11</v>
      </c>
    </row>
    <row r="18" ht="16.35" spans="1:24">
      <c r="A18">
        <f>数据表!H20</f>
        <v>16</v>
      </c>
      <c r="B18" s="30" t="s">
        <v>242</v>
      </c>
      <c r="C18">
        <f>数据表!I20</f>
        <v>18</v>
      </c>
      <c r="D18" s="30" t="s">
        <v>242</v>
      </c>
      <c r="F18" s="20" t="s">
        <v>239</v>
      </c>
      <c r="G18" s="21">
        <v>0.5</v>
      </c>
      <c r="H18" s="155">
        <f>COUNTIF(U19:U28,"&gt;"&amp;U18)+1+COUNTIF(U3:U17,"&gt;="&amp;U18)</f>
        <v>2</v>
      </c>
      <c r="I18" s="155">
        <f>COUNTIF(V19:V28,"&gt;"&amp;V18)+1+COUNTIF(V3:V17,"&gt;="&amp;V18)</f>
        <v>2</v>
      </c>
      <c r="J18" s="187">
        <f t="shared" si="4"/>
        <v>273.404168514412</v>
      </c>
      <c r="K18" s="188">
        <f t="shared" si="1"/>
        <v>87.5747727272727</v>
      </c>
      <c r="L18" s="189">
        <v>5000</v>
      </c>
      <c r="M18" s="190">
        <v>5</v>
      </c>
      <c r="N18" s="173">
        <v>0</v>
      </c>
      <c r="O18" s="174">
        <v>11.77</v>
      </c>
      <c r="P18" s="198">
        <v>0</v>
      </c>
      <c r="Q18" s="239">
        <v>0.25</v>
      </c>
      <c r="R18" s="189">
        <f>L18*K32+M18*L32+(G18+F32)*G32</f>
        <v>5125</v>
      </c>
      <c r="S18" s="240">
        <f>IF(G18&gt;M32,G18*G32-M32*G34,M32*G33)+L18*K32+M18*L32</f>
        <v>16000</v>
      </c>
      <c r="T18" s="241">
        <f>(N18*'倾向-优先级表'!J117+O18*'倾向-优先级表'!K117+Q18*'倾向-优先级表'!M117)*G18</f>
        <v>14011.9636363636</v>
      </c>
      <c r="U18" s="242">
        <f t="shared" si="2"/>
        <v>688257.613636363</v>
      </c>
      <c r="V18" s="243">
        <f>(K18-'倾向-优先级表'!D7)*S18</f>
        <v>555436.363636363</v>
      </c>
      <c r="W18" s="98">
        <f t="shared" si="3"/>
        <v>-712938.75</v>
      </c>
      <c r="X18">
        <f>'倾向-优先级表'!D6</f>
        <v>139.11</v>
      </c>
    </row>
    <row r="19" ht="15.6" spans="1:24">
      <c r="A19">
        <f>数据表!H21</f>
        <v>8</v>
      </c>
      <c r="B19" t="s">
        <v>243</v>
      </c>
      <c r="C19">
        <f>数据表!I21</f>
        <v>7</v>
      </c>
      <c r="D19" t="s">
        <v>243</v>
      </c>
      <c r="F19" s="13" t="s">
        <v>244</v>
      </c>
      <c r="G19" s="14">
        <v>1.5</v>
      </c>
      <c r="H19" s="154">
        <f>COUNTIF(U20:U28,"&gt;"&amp;U19)+1+COUNTIF(U3:U18,"&gt;="&amp;U19)</f>
        <v>9</v>
      </c>
      <c r="I19" s="154">
        <f>COUNTIF(V20:V28,"&gt;"&amp;V19)+1+COUNTIF(V3:V18,"&gt;="&amp;V19)</f>
        <v>22</v>
      </c>
      <c r="J19" s="191">
        <f t="shared" si="4"/>
        <v>79.4431168831169</v>
      </c>
      <c r="K19" s="170">
        <f t="shared" si="1"/>
        <v>17.3781818181818</v>
      </c>
      <c r="L19" s="192">
        <v>1500</v>
      </c>
      <c r="M19" s="193">
        <v>0</v>
      </c>
      <c r="N19" s="194">
        <v>0.58</v>
      </c>
      <c r="O19" s="195">
        <v>0.15</v>
      </c>
      <c r="P19" s="196">
        <v>0</v>
      </c>
      <c r="Q19" s="244">
        <v>0.016</v>
      </c>
      <c r="R19" s="192">
        <f>L19*K32+M19*L32+(G19+F32)*G32</f>
        <v>2625</v>
      </c>
      <c r="S19" s="230">
        <f>IF(G19&gt;M32,G19*G32-M32*G34,M32*G33)+L19*K32+M19*L32</f>
        <v>12000</v>
      </c>
      <c r="T19" s="231">
        <f>(N19*'倾向-优先级表'!J117+O19*'倾向-优先级表'!K117+Q19*'倾向-优先级表'!M117)*G19</f>
        <v>2085.38181818182</v>
      </c>
      <c r="U19" s="232">
        <f t="shared" si="2"/>
        <v>-156625.568181818</v>
      </c>
      <c r="V19" s="233">
        <f>(K19-'倾向-优先级表'!D7)*S19</f>
        <v>-425781.818181818</v>
      </c>
      <c r="W19" s="98">
        <f t="shared" si="3"/>
        <v>-365163.75</v>
      </c>
      <c r="X19">
        <f>'倾向-优先级表'!D6</f>
        <v>139.11</v>
      </c>
    </row>
    <row r="20" ht="15.6" spans="1:24">
      <c r="A20">
        <f>数据表!H22</f>
        <v>15</v>
      </c>
      <c r="B20" t="s">
        <v>245</v>
      </c>
      <c r="C20">
        <f>数据表!I22</f>
        <v>25</v>
      </c>
      <c r="D20" t="s">
        <v>245</v>
      </c>
      <c r="F20" s="15" t="s">
        <v>244</v>
      </c>
      <c r="G20" s="16">
        <v>2.5</v>
      </c>
      <c r="H20" s="154">
        <f>COUNTIF(U21:U28,"&gt;"&amp;U20)+1+COUNTIF(U3:U19,"&gt;="&amp;U20)</f>
        <v>16</v>
      </c>
      <c r="I20" s="154">
        <f>COUNTIF(V21:V28,"&gt;"&amp;V20)+1+COUNTIF(V3:V19,"&gt;="&amp;V20)</f>
        <v>18</v>
      </c>
      <c r="J20" s="177">
        <f t="shared" si="4"/>
        <v>69.0446280991736</v>
      </c>
      <c r="K20" s="178">
        <f t="shared" si="1"/>
        <v>23.7340909090909</v>
      </c>
      <c r="L20" s="179">
        <v>3000</v>
      </c>
      <c r="M20" s="180">
        <v>0</v>
      </c>
      <c r="N20" s="184">
        <v>0.45</v>
      </c>
      <c r="O20" s="185">
        <v>0.1</v>
      </c>
      <c r="P20" s="197">
        <v>0</v>
      </c>
      <c r="Q20" s="234">
        <v>0.014</v>
      </c>
      <c r="R20" s="179">
        <f>L20*K32+M20*L32+(G20+F32)*G32</f>
        <v>4125</v>
      </c>
      <c r="S20" s="235">
        <f>IF(G20&gt;M32,G20*G32-M32*G34,M32*G33)+L20*K32+M20*L32</f>
        <v>12000</v>
      </c>
      <c r="T20" s="236">
        <f>(N20*'倾向-优先级表'!J117+O20*'倾向-优先级表'!K117+Q20*'倾向-优先级表'!M117)*G20</f>
        <v>2848.09090909091</v>
      </c>
      <c r="U20" s="237">
        <f t="shared" si="2"/>
        <v>-289019.659090909</v>
      </c>
      <c r="V20" s="238">
        <f>(K20-'倾向-优先级表'!D7)*S20</f>
        <v>-349510.909090909</v>
      </c>
      <c r="W20" s="98">
        <f t="shared" si="3"/>
        <v>-573828.75</v>
      </c>
      <c r="X20">
        <f>'倾向-优先级表'!D6</f>
        <v>139.11</v>
      </c>
    </row>
    <row r="21" ht="16.35" spans="1:24">
      <c r="A21">
        <f>数据表!H23</f>
        <v>12</v>
      </c>
      <c r="B21" t="s">
        <v>246</v>
      </c>
      <c r="C21">
        <f>数据表!I23</f>
        <v>20</v>
      </c>
      <c r="D21" t="s">
        <v>246</v>
      </c>
      <c r="F21" s="22" t="s">
        <v>244</v>
      </c>
      <c r="G21" s="23">
        <v>4</v>
      </c>
      <c r="H21" s="156">
        <f>COUNTIF(U22:U28,"&gt;"&amp;U21)+1+COUNTIF(U3:U20,"&gt;="&amp;U21)</f>
        <v>8</v>
      </c>
      <c r="I21" s="156">
        <f>COUNTIF(V22:V28,"&gt;"&amp;V21)+1+COUNTIF(V3:V20,"&gt;="&amp;V21)</f>
        <v>7</v>
      </c>
      <c r="J21" s="199">
        <f t="shared" si="4"/>
        <v>116.308877005348</v>
      </c>
      <c r="K21" s="188">
        <f t="shared" si="1"/>
        <v>61.7890909090909</v>
      </c>
      <c r="L21" s="189">
        <v>6000</v>
      </c>
      <c r="M21" s="190">
        <v>0</v>
      </c>
      <c r="N21" s="207">
        <v>0.52</v>
      </c>
      <c r="O21" s="208">
        <v>0.14</v>
      </c>
      <c r="P21" s="209">
        <v>0</v>
      </c>
      <c r="Q21" s="239">
        <v>0.026</v>
      </c>
      <c r="R21" s="189">
        <f>L21*K32+M21*L32+(G21+F32)*G32</f>
        <v>6375</v>
      </c>
      <c r="S21" s="240">
        <f>IF(G21&gt;M32,G21*G32-M32*G34,M32*G33)+L21*K32+M21*L32</f>
        <v>12000</v>
      </c>
      <c r="T21" s="241">
        <f>(N21*'倾向-优先级表'!J117+O21*'倾向-优先级表'!K117+Q21*'倾向-优先级表'!M117)*G21</f>
        <v>7414.69090909091</v>
      </c>
      <c r="U21" s="245">
        <f t="shared" si="2"/>
        <v>-145357.159090909</v>
      </c>
      <c r="V21" s="246">
        <f>(K21-'倾向-优先级表'!D7)*S21</f>
        <v>107149.090909091</v>
      </c>
      <c r="W21" s="98">
        <f t="shared" si="3"/>
        <v>-886826.25</v>
      </c>
      <c r="X21">
        <f>'倾向-优先级表'!D6</f>
        <v>139.11</v>
      </c>
    </row>
    <row r="22" ht="15.6" spans="1:24">
      <c r="A22">
        <f>数据表!H24</f>
        <v>14</v>
      </c>
      <c r="B22" t="s">
        <v>247</v>
      </c>
      <c r="C22">
        <f>数据表!I24</f>
        <v>8</v>
      </c>
      <c r="D22" t="s">
        <v>247</v>
      </c>
      <c r="F22" s="19" t="s">
        <v>248</v>
      </c>
      <c r="G22" s="6">
        <v>2</v>
      </c>
      <c r="H22" s="153">
        <f>COUNTIF(U23:U28,"&gt;"&amp;U22)+1+COUNTIF(U3:U21,"&gt;="&amp;U22)</f>
        <v>15</v>
      </c>
      <c r="I22" s="153">
        <f>COUNTIF(V23:V28,"&gt;"&amp;V22)+1+COUNTIF(V3:V21,"&gt;="&amp;V22)</f>
        <v>25</v>
      </c>
      <c r="J22" s="169">
        <f t="shared" si="4"/>
        <v>54.9236363636364</v>
      </c>
      <c r="K22" s="170">
        <f t="shared" si="1"/>
        <v>15.4472727272727</v>
      </c>
      <c r="L22" s="192">
        <v>0</v>
      </c>
      <c r="M22" s="193">
        <v>0</v>
      </c>
      <c r="N22" s="173">
        <v>0</v>
      </c>
      <c r="O22" s="174">
        <v>0</v>
      </c>
      <c r="P22" s="198">
        <v>0</v>
      </c>
      <c r="Q22" s="244">
        <v>0.018</v>
      </c>
      <c r="R22" s="192">
        <f>L22*K32+M22*L32+(G22+F32)*G32</f>
        <v>3375</v>
      </c>
      <c r="S22" s="230">
        <f>IF(G22&gt;M32,G22*G32-M32*G34,M32*G33)+L22*K32+M22*L32</f>
        <v>12000</v>
      </c>
      <c r="T22" s="231">
        <f>(N22*'倾向-优先级表'!J117+O22*'倾向-优先级表'!K117+Q22*'倾向-优先级表'!M117)*G22</f>
        <v>1853.67272727273</v>
      </c>
      <c r="U22" s="247">
        <f t="shared" si="2"/>
        <v>-284128.977272727</v>
      </c>
      <c r="V22" s="248">
        <f>(K22-'倾向-优先级表'!D7)*S22</f>
        <v>-448952.727272727</v>
      </c>
      <c r="W22" s="98">
        <f t="shared" si="3"/>
        <v>-469496.25</v>
      </c>
      <c r="X22">
        <f>'倾向-优先级表'!D6</f>
        <v>139.11</v>
      </c>
    </row>
    <row r="23" ht="16.35" spans="1:24">
      <c r="A23">
        <f>数据表!H25</f>
        <v>23</v>
      </c>
      <c r="B23" t="s">
        <v>249</v>
      </c>
      <c r="C23">
        <f>数据表!I25</f>
        <v>15</v>
      </c>
      <c r="D23" t="s">
        <v>249</v>
      </c>
      <c r="F23" s="24" t="s">
        <v>248</v>
      </c>
      <c r="G23" s="25">
        <v>2</v>
      </c>
      <c r="H23" s="155">
        <f>COUNTIF(U24:U28,"&gt;"&amp;U23)+1+COUNTIF(U3:U22,"&gt;="&amp;U23)</f>
        <v>12</v>
      </c>
      <c r="I23" s="155">
        <f>COUNTIF(V24:V28,"&gt;"&amp;V23)+1+COUNTIF(V3:V22,"&gt;="&amp;V23)</f>
        <v>20</v>
      </c>
      <c r="J23" s="187">
        <f t="shared" si="4"/>
        <v>64.0775757575758</v>
      </c>
      <c r="K23" s="188">
        <f t="shared" si="1"/>
        <v>18.0218181818182</v>
      </c>
      <c r="L23" s="189">
        <v>0</v>
      </c>
      <c r="M23" s="190">
        <v>0</v>
      </c>
      <c r="N23" s="181">
        <v>0</v>
      </c>
      <c r="O23" s="182">
        <v>0</v>
      </c>
      <c r="P23" s="206">
        <v>0</v>
      </c>
      <c r="Q23" s="239">
        <v>0.021</v>
      </c>
      <c r="R23" s="189">
        <f>L23*K32+M23*L32+(G23+F32)*G32</f>
        <v>3375</v>
      </c>
      <c r="S23" s="240">
        <f>IF(G23&gt;M32,G23*G32-M32*G34,M32*G33)+L23*K32+M23*L32</f>
        <v>12000</v>
      </c>
      <c r="T23" s="241">
        <f>(N23*'倾向-优先级表'!J117+O23*'倾向-优先级表'!K117+Q23*'倾向-优先级表'!M117)*G23</f>
        <v>2162.61818181818</v>
      </c>
      <c r="U23" s="242">
        <f t="shared" si="2"/>
        <v>-253234.431818182</v>
      </c>
      <c r="V23" s="243">
        <f>(K23-'倾向-优先级表'!D7)*S23</f>
        <v>-418058.181818182</v>
      </c>
      <c r="W23" s="98">
        <f t="shared" si="3"/>
        <v>-469496.25</v>
      </c>
      <c r="X23">
        <f>'倾向-优先级表'!D6</f>
        <v>139.11</v>
      </c>
    </row>
    <row r="24" ht="15.6" spans="1:24">
      <c r="A24">
        <f>数据表!H26</f>
        <v>24</v>
      </c>
      <c r="B24" t="s">
        <v>250</v>
      </c>
      <c r="C24">
        <f>数据表!I26</f>
        <v>10</v>
      </c>
      <c r="D24" t="s">
        <v>250</v>
      </c>
      <c r="F24" s="26" t="s">
        <v>251</v>
      </c>
      <c r="G24" s="27">
        <v>4</v>
      </c>
      <c r="H24" s="154">
        <f>COUNTIF(U25:U28,"&gt;"&amp;U24)+1+COUNTIF(U3:U23,"&gt;="&amp;U24)</f>
        <v>14</v>
      </c>
      <c r="I24" s="154">
        <f>COUNTIF(V25:V28,"&gt;"&amp;V24)+1+COUNTIF(V3:V23,"&gt;="&amp;V24)</f>
        <v>8</v>
      </c>
      <c r="J24" s="191">
        <f t="shared" si="4"/>
        <v>94.9048128342246</v>
      </c>
      <c r="K24" s="170">
        <f t="shared" si="1"/>
        <v>50.4181818181818</v>
      </c>
      <c r="L24" s="192">
        <v>0</v>
      </c>
      <c r="M24" s="193">
        <v>0</v>
      </c>
      <c r="N24" s="210">
        <v>0.33</v>
      </c>
      <c r="O24" s="211">
        <v>0.09</v>
      </c>
      <c r="P24" s="212">
        <v>0</v>
      </c>
      <c r="Q24" s="244">
        <v>0.023</v>
      </c>
      <c r="R24" s="192">
        <f>L24*K32+M24*L32+(G24+F32)*G32</f>
        <v>6375</v>
      </c>
      <c r="S24" s="230">
        <f>IF(G24&gt;M32,G24*G32-M32*G34,M32*G33)+L24*K32+M24*L32</f>
        <v>12000</v>
      </c>
      <c r="T24" s="231">
        <f>(N24*'倾向-优先级表'!J117+O24*'倾向-优先级表'!K117+Q24*'倾向-优先级表'!M117)*G24</f>
        <v>6050.18181818182</v>
      </c>
      <c r="U24" s="232">
        <f t="shared" si="2"/>
        <v>-281808.068181818</v>
      </c>
      <c r="V24" s="233">
        <f>(K24-'倾向-优先级表'!D7)*S24</f>
        <v>-29301.8181818182</v>
      </c>
      <c r="W24" s="98">
        <f t="shared" si="3"/>
        <v>-886826.25</v>
      </c>
      <c r="X24">
        <f>'倾向-优先级表'!D6</f>
        <v>139.11</v>
      </c>
    </row>
    <row r="25" ht="15.6" spans="1:24">
      <c r="A25">
        <f>数据表!H27</f>
        <v>26</v>
      </c>
      <c r="B25" t="s">
        <v>252</v>
      </c>
      <c r="C25">
        <f>数据表!I27</f>
        <v>17</v>
      </c>
      <c r="D25" t="s">
        <v>252</v>
      </c>
      <c r="F25" s="15" t="s">
        <v>253</v>
      </c>
      <c r="G25" s="16">
        <v>6</v>
      </c>
      <c r="H25" s="154">
        <f>COUNTIF(U26:U28,"&gt;"&amp;U25)+1+COUNTIF(U3:U24,"&gt;="&amp;U25)</f>
        <v>23</v>
      </c>
      <c r="I25" s="154">
        <f>COUNTIF(V26:V28,"&gt;"&amp;V25)+1+COUNTIF(V3:V24,"&gt;="&amp;V25)</f>
        <v>15</v>
      </c>
      <c r="J25" s="177">
        <f t="shared" si="4"/>
        <v>39.5450181818182</v>
      </c>
      <c r="K25" s="178">
        <f t="shared" si="1"/>
        <v>30.8945454545455</v>
      </c>
      <c r="L25" s="179">
        <v>0</v>
      </c>
      <c r="M25" s="180">
        <v>0</v>
      </c>
      <c r="N25" s="173">
        <v>0</v>
      </c>
      <c r="O25" s="174">
        <v>0</v>
      </c>
      <c r="P25" s="198">
        <v>0</v>
      </c>
      <c r="Q25" s="234">
        <v>0.012</v>
      </c>
      <c r="R25" s="179">
        <f>L25*K32+M25*L32+(G25+F32)*G32</f>
        <v>9375</v>
      </c>
      <c r="S25" s="235">
        <f>IF(G25&gt;M32,G25*G32-M32*G34,M32*G33)+L25*K32+M25*L32</f>
        <v>12000</v>
      </c>
      <c r="T25" s="236">
        <f>(N25*'倾向-优先级表'!J117+O25*'倾向-优先级表'!K117+Q25*'倾向-优先级表'!M117)*G25</f>
        <v>3707.34545454545</v>
      </c>
      <c r="U25" s="237">
        <f t="shared" si="2"/>
        <v>-933421.704545455</v>
      </c>
      <c r="V25" s="238">
        <f>(K25-'倾向-优先级表'!D7)*S25</f>
        <v>-263585.454545455</v>
      </c>
      <c r="W25" s="98">
        <f t="shared" si="3"/>
        <v>-1304156.25</v>
      </c>
      <c r="X25">
        <f>'倾向-优先级表'!D6</f>
        <v>139.11</v>
      </c>
    </row>
    <row r="26" ht="15.6" spans="1:24">
      <c r="A26">
        <f>数据表!H28</f>
        <v>17</v>
      </c>
      <c r="B26" t="s">
        <v>254</v>
      </c>
      <c r="C26">
        <f>数据表!I28</f>
        <v>26</v>
      </c>
      <c r="D26" t="s">
        <v>254</v>
      </c>
      <c r="F26" s="7" t="s">
        <v>253</v>
      </c>
      <c r="G26" s="8">
        <v>8</v>
      </c>
      <c r="H26" s="154">
        <f>COUNTIF(U27:U28,"&gt;"&amp;U26)+1+COUNTIF(U3:U25,"&gt;="&amp;U26)</f>
        <v>24</v>
      </c>
      <c r="I26" s="154">
        <f>COUNTIF(V27:V28,"&gt;"&amp;V26)+1+COUNTIF(V3:V25,"&gt;="&amp;V26)</f>
        <v>10</v>
      </c>
      <c r="J26" s="177">
        <f t="shared" si="4"/>
        <v>40.3605509641873</v>
      </c>
      <c r="K26" s="188">
        <f t="shared" si="1"/>
        <v>41.6218181818182</v>
      </c>
      <c r="L26" s="179">
        <v>0</v>
      </c>
      <c r="M26" s="180">
        <v>0</v>
      </c>
      <c r="N26" s="184">
        <v>0.07</v>
      </c>
      <c r="O26" s="185">
        <v>0.01</v>
      </c>
      <c r="P26" s="197">
        <v>0</v>
      </c>
      <c r="Q26" s="234">
        <v>0.011</v>
      </c>
      <c r="R26" s="179">
        <f>L26*K32+M26*L32+(G26+F32)*G32</f>
        <v>12375</v>
      </c>
      <c r="S26" s="235">
        <f>IF(G26&gt;M32,G26*G32-M32*G34,M32*G33)+L26*K32+M26*L32</f>
        <v>12000</v>
      </c>
      <c r="T26" s="236">
        <f>(N26*'倾向-优先级表'!J117+O26*'倾向-优先级表'!K117+Q26*'倾向-优先级表'!M117)*G26</f>
        <v>4994.61818181818</v>
      </c>
      <c r="U26" s="237">
        <f t="shared" si="2"/>
        <v>-1222024.43181818</v>
      </c>
      <c r="V26" s="238">
        <f>(K26-'倾向-优先级表'!D7)*S26</f>
        <v>-134858.181818182</v>
      </c>
      <c r="W26" s="98">
        <f t="shared" si="3"/>
        <v>-1721486.25</v>
      </c>
      <c r="X26">
        <f>'倾向-优先级表'!D6</f>
        <v>139.11</v>
      </c>
    </row>
    <row r="27" ht="16.35" spans="6:24">
      <c r="F27" s="17" t="s">
        <v>253</v>
      </c>
      <c r="G27" s="18">
        <v>12</v>
      </c>
      <c r="H27" s="156">
        <f>COUNTIF(U28:U28,"&gt;"&amp;U27)+1+COUNTIF(U3:U26,"&gt;="&amp;U27)</f>
        <v>26</v>
      </c>
      <c r="I27" s="156">
        <f>COUNTIF(V28:V28,"&gt;"&amp;V27)+1+COUNTIF(V3:V26,"&gt;="&amp;V27)</f>
        <v>17</v>
      </c>
      <c r="J27" s="199">
        <f t="shared" si="4"/>
        <v>34.8877179962894</v>
      </c>
      <c r="K27" s="213">
        <f t="shared" si="1"/>
        <v>35.6145454545454</v>
      </c>
      <c r="L27" s="189">
        <v>0</v>
      </c>
      <c r="M27" s="190">
        <v>0</v>
      </c>
      <c r="N27" s="207">
        <v>0.07</v>
      </c>
      <c r="O27" s="208">
        <v>0.02</v>
      </c>
      <c r="P27" s="209">
        <v>0</v>
      </c>
      <c r="Q27" s="239">
        <v>0.009</v>
      </c>
      <c r="R27" s="189">
        <f>L27*K32+M262*L32+(G27+F32)*G32</f>
        <v>18375</v>
      </c>
      <c r="S27" s="240">
        <f>IF(G27&gt;M32,G27*G32-M32*G34,M32*G33)+L27*K32+M27*L32</f>
        <v>18000</v>
      </c>
      <c r="T27" s="241">
        <f>(N27*'倾向-优先级表'!J117+O27*'倾向-优先级表'!K117+Q27*'倾向-优先级表'!M117)*G27</f>
        <v>6410.61818181818</v>
      </c>
      <c r="U27" s="245">
        <f t="shared" si="2"/>
        <v>-1915084.43181818</v>
      </c>
      <c r="V27" s="246">
        <f>(K27-'倾向-优先级表'!D7)*S27</f>
        <v>-310418.181818182</v>
      </c>
      <c r="W27" s="98">
        <f t="shared" si="3"/>
        <v>-2556146.25</v>
      </c>
      <c r="X27">
        <f>'倾向-优先级表'!D6</f>
        <v>139.11</v>
      </c>
    </row>
    <row r="28" ht="16.35" spans="6:24">
      <c r="F28" s="28" t="s">
        <v>255</v>
      </c>
      <c r="G28" s="29">
        <v>3</v>
      </c>
      <c r="H28" s="157">
        <f>1+COUNTIF(U3:U27,"&gt;="&amp;U28)</f>
        <v>17</v>
      </c>
      <c r="I28" s="157">
        <f>1+COUNTIF(V3:V27,"&gt;="&amp;V28)</f>
        <v>26</v>
      </c>
      <c r="J28" s="214">
        <f t="shared" si="4"/>
        <v>34.8553846153846</v>
      </c>
      <c r="K28" s="215">
        <f t="shared" si="1"/>
        <v>14.16</v>
      </c>
      <c r="L28" s="216">
        <v>0</v>
      </c>
      <c r="M28" s="217">
        <v>0</v>
      </c>
      <c r="N28" s="207">
        <v>0</v>
      </c>
      <c r="O28" s="208">
        <v>0</v>
      </c>
      <c r="P28" s="209"/>
      <c r="Q28" s="250">
        <v>0.011</v>
      </c>
      <c r="R28" s="216">
        <f>L28*K32+M28*L32+(G28+F32)*G32</f>
        <v>4875</v>
      </c>
      <c r="S28" s="251">
        <f>IF(G28&gt;M32,G28*G32-M32*G34,M32*G33)+L28*K32+M28*L32</f>
        <v>12000</v>
      </c>
      <c r="T28" s="252">
        <f>(N28*'倾向-优先级表'!J117+O28*'倾向-优先级表'!K117+Q28*'倾向-优先级表'!M117)*G28</f>
        <v>1699.2</v>
      </c>
      <c r="U28" s="253">
        <f t="shared" si="2"/>
        <v>-508241.25</v>
      </c>
      <c r="V28" s="254">
        <f>(K28-'倾向-优先级表'!D7)*S28</f>
        <v>-464400</v>
      </c>
      <c r="W28" s="101">
        <f t="shared" si="3"/>
        <v>-678161.25</v>
      </c>
      <c r="X28">
        <f>'倾向-优先级表'!D6</f>
        <v>139.11</v>
      </c>
    </row>
    <row r="30" spans="17:20">
      <c r="Q30">
        <f>H3</f>
        <v>13</v>
      </c>
      <c r="R30">
        <f>IF(U3&gt;0,999,0)</f>
        <v>0</v>
      </c>
      <c r="S30">
        <f>I3</f>
        <v>24</v>
      </c>
      <c r="T30">
        <f>IF(V3&gt;0,999,0)</f>
        <v>0</v>
      </c>
    </row>
    <row r="31" spans="17:20">
      <c r="Q31">
        <f t="shared" ref="Q31:Q55" si="5">H4</f>
        <v>20</v>
      </c>
      <c r="R31">
        <f t="shared" ref="R31:R55" si="6">IF(U4&gt;0,999,0)</f>
        <v>0</v>
      </c>
      <c r="S31">
        <f t="shared" ref="S31:S55" si="7">I4</f>
        <v>21</v>
      </c>
      <c r="T31">
        <f t="shared" ref="T31:T55" si="8">IF(V4&gt;0,999,0)</f>
        <v>0</v>
      </c>
    </row>
    <row r="32" spans="6:20">
      <c r="F32">
        <f>'倾向-优先级表'!D12/60</f>
        <v>0.25</v>
      </c>
      <c r="G32">
        <f>'倾向-优先级表'!F115</f>
        <v>1500</v>
      </c>
      <c r="H32">
        <f>'倾向-优先级表'!J117</f>
        <v>643.636363636364</v>
      </c>
      <c r="I32">
        <f>'倾向-优先级表'!K117</f>
        <v>1287.27272727273</v>
      </c>
      <c r="J32">
        <f>'倾向-优先级表'!M117</f>
        <v>51490.9090909091</v>
      </c>
      <c r="K32">
        <f>'倾向-优先级表'!I117</f>
        <v>0</v>
      </c>
      <c r="L32">
        <f>'倾向-优先级表'!H117</f>
        <v>800</v>
      </c>
      <c r="M32">
        <f>24-'倾向-优先级表'!I13</f>
        <v>8</v>
      </c>
      <c r="Q32">
        <f t="shared" si="5"/>
        <v>25</v>
      </c>
      <c r="R32">
        <f t="shared" si="6"/>
        <v>0</v>
      </c>
      <c r="S32">
        <f t="shared" si="7"/>
        <v>23</v>
      </c>
      <c r="T32">
        <f t="shared" si="8"/>
        <v>0</v>
      </c>
    </row>
    <row r="33" spans="7:20">
      <c r="G33">
        <f>'倾向-优先级表'!G115</f>
        <v>1500</v>
      </c>
      <c r="Q33">
        <f t="shared" si="5"/>
        <v>5</v>
      </c>
      <c r="R33">
        <f t="shared" si="6"/>
        <v>999</v>
      </c>
      <c r="S33">
        <f t="shared" si="7"/>
        <v>13</v>
      </c>
      <c r="T33">
        <f t="shared" si="8"/>
        <v>0</v>
      </c>
    </row>
    <row r="34" spans="7:20">
      <c r="G34">
        <f>G32-G33</f>
        <v>0</v>
      </c>
      <c r="Q34">
        <f t="shared" si="5"/>
        <v>7</v>
      </c>
      <c r="R34">
        <f t="shared" si="6"/>
        <v>999</v>
      </c>
      <c r="S34">
        <f t="shared" si="7"/>
        <v>19</v>
      </c>
      <c r="T34">
        <f t="shared" si="8"/>
        <v>0</v>
      </c>
    </row>
    <row r="35" spans="17:20">
      <c r="Q35">
        <f t="shared" si="5"/>
        <v>6</v>
      </c>
      <c r="R35">
        <f t="shared" si="6"/>
        <v>999</v>
      </c>
      <c r="S35">
        <f t="shared" si="7"/>
        <v>12</v>
      </c>
      <c r="T35">
        <f t="shared" si="8"/>
        <v>0</v>
      </c>
    </row>
    <row r="36" spans="17:20">
      <c r="Q36">
        <f t="shared" si="5"/>
        <v>4</v>
      </c>
      <c r="R36">
        <f t="shared" si="6"/>
        <v>999</v>
      </c>
      <c r="S36">
        <f t="shared" si="7"/>
        <v>3</v>
      </c>
      <c r="T36">
        <f t="shared" si="8"/>
        <v>999</v>
      </c>
    </row>
    <row r="37" spans="6:20">
      <c r="F37">
        <f>'倾向-优先级表'!Q32</f>
        <v>0.352435700437533</v>
      </c>
      <c r="J37" t="s">
        <v>256</v>
      </c>
      <c r="K37">
        <f ca="1">(当前时间项目推荐!B11-ROUNDDOWN(当前时间项目推荐!B11,0))*24</f>
        <v>11.5877777778078</v>
      </c>
      <c r="M37" t="s">
        <v>257</v>
      </c>
      <c r="N37">
        <f>'倾向-优先级表'!I13</f>
        <v>16</v>
      </c>
      <c r="Q37">
        <f t="shared" si="5"/>
        <v>1</v>
      </c>
      <c r="R37">
        <f t="shared" si="6"/>
        <v>999</v>
      </c>
      <c r="S37">
        <f t="shared" si="7"/>
        <v>1</v>
      </c>
      <c r="T37">
        <f t="shared" si="8"/>
        <v>999</v>
      </c>
    </row>
    <row r="38" spans="3:20">
      <c r="C38">
        <f>IF(F37&lt;0.1,1,0)</f>
        <v>0</v>
      </c>
      <c r="D38" t="s">
        <v>258</v>
      </c>
      <c r="J38" t="s">
        <v>259</v>
      </c>
      <c r="K38">
        <f>(当前时间项目推荐!C16-ROUNDDOWN(当前时间项目推荐!C16,0))*24</f>
        <v>23.8333333333333</v>
      </c>
      <c r="N38">
        <f ca="1">IF((K38-K37)&lt;0,K38+24,K38)-K37</f>
        <v>12.2455555555255</v>
      </c>
      <c r="Q38">
        <f t="shared" si="5"/>
        <v>11</v>
      </c>
      <c r="R38">
        <f t="shared" si="6"/>
        <v>0</v>
      </c>
      <c r="S38">
        <f t="shared" si="7"/>
        <v>16</v>
      </c>
      <c r="T38">
        <f t="shared" si="8"/>
        <v>0</v>
      </c>
    </row>
    <row r="39" spans="3:20">
      <c r="C39">
        <f>IF((F37&gt;=0.1)*(F37&lt;0.17),1,0)</f>
        <v>0</v>
      </c>
      <c r="D39" t="s">
        <v>260</v>
      </c>
      <c r="J39" t="s">
        <v>261</v>
      </c>
      <c r="K39">
        <f ca="1">IF(N38&gt;N37,0,N38)</f>
        <v>12.2455555555255</v>
      </c>
      <c r="Q39">
        <f t="shared" si="5"/>
        <v>19</v>
      </c>
      <c r="R39">
        <f t="shared" si="6"/>
        <v>0</v>
      </c>
      <c r="S39">
        <f t="shared" si="7"/>
        <v>11</v>
      </c>
      <c r="T39">
        <f t="shared" si="8"/>
        <v>0</v>
      </c>
    </row>
    <row r="40" spans="3:20">
      <c r="C40">
        <f>IF((F37&gt;=0.17)*(F37&lt;0.24),1,0)</f>
        <v>0</v>
      </c>
      <c r="D40" t="s">
        <v>262</v>
      </c>
      <c r="Q40">
        <f t="shared" si="5"/>
        <v>22</v>
      </c>
      <c r="R40">
        <f t="shared" si="6"/>
        <v>0</v>
      </c>
      <c r="S40">
        <f t="shared" si="7"/>
        <v>6</v>
      </c>
      <c r="T40">
        <f t="shared" si="8"/>
        <v>999</v>
      </c>
    </row>
    <row r="41" spans="3:20">
      <c r="C41">
        <f>IF((F37&gt;=0.24)*(F37&lt;0.33),1,0)</f>
        <v>0</v>
      </c>
      <c r="D41" t="s">
        <v>263</v>
      </c>
      <c r="Q41">
        <f t="shared" si="5"/>
        <v>3</v>
      </c>
      <c r="R41">
        <f t="shared" si="6"/>
        <v>999</v>
      </c>
      <c r="S41">
        <f t="shared" si="7"/>
        <v>4</v>
      </c>
      <c r="T41">
        <f t="shared" si="8"/>
        <v>999</v>
      </c>
    </row>
    <row r="42" spans="3:20">
      <c r="C42">
        <f>IF((F37&gt;=0.33)*(F37&lt;0.38),1,0)</f>
        <v>1</v>
      </c>
      <c r="D42" t="s">
        <v>264</v>
      </c>
      <c r="Q42">
        <f t="shared" si="5"/>
        <v>10</v>
      </c>
      <c r="R42">
        <f t="shared" si="6"/>
        <v>0</v>
      </c>
      <c r="S42">
        <f t="shared" si="7"/>
        <v>14</v>
      </c>
      <c r="T42">
        <f t="shared" si="8"/>
        <v>0</v>
      </c>
    </row>
    <row r="43" spans="3:20">
      <c r="C43">
        <f>IF((F37&gt;=0.38)*(F37&lt;0.44),1,0)</f>
        <v>0</v>
      </c>
      <c r="D43" t="s">
        <v>265</v>
      </c>
      <c r="M43" t="s">
        <v>266</v>
      </c>
      <c r="N43" t="s">
        <v>267</v>
      </c>
      <c r="Q43">
        <f t="shared" si="5"/>
        <v>18</v>
      </c>
      <c r="R43">
        <f t="shared" si="6"/>
        <v>0</v>
      </c>
      <c r="S43">
        <f t="shared" si="7"/>
        <v>9</v>
      </c>
      <c r="T43">
        <f t="shared" si="8"/>
        <v>0</v>
      </c>
    </row>
    <row r="44" spans="3:20">
      <c r="C44">
        <f>IF((F37&gt;=0.44),1,0)</f>
        <v>0</v>
      </c>
      <c r="D44" t="s">
        <v>268</v>
      </c>
      <c r="L44" t="s">
        <v>269</v>
      </c>
      <c r="M44">
        <f>白天模拟!T60+夜晚模拟!T60</f>
        <v>2.4545645885554</v>
      </c>
      <c r="N44">
        <f>白天模拟!S60+夜晚模拟!S60</f>
        <v>6.18091440281291</v>
      </c>
      <c r="Q44">
        <f t="shared" si="5"/>
        <v>21</v>
      </c>
      <c r="R44">
        <f t="shared" si="6"/>
        <v>0</v>
      </c>
      <c r="S44">
        <f t="shared" si="7"/>
        <v>5</v>
      </c>
      <c r="T44">
        <f t="shared" si="8"/>
        <v>999</v>
      </c>
    </row>
    <row r="45" spans="13:20">
      <c r="M45">
        <f>M44*5/N44</f>
        <v>1.98559988748456</v>
      </c>
      <c r="Q45">
        <f t="shared" si="5"/>
        <v>2</v>
      </c>
      <c r="R45">
        <f t="shared" si="6"/>
        <v>999</v>
      </c>
      <c r="S45">
        <f t="shared" si="7"/>
        <v>2</v>
      </c>
      <c r="T45">
        <f t="shared" si="8"/>
        <v>999</v>
      </c>
    </row>
    <row r="46" spans="2:20">
      <c r="B46" s="158">
        <v>44385.5833333333</v>
      </c>
      <c r="D46" t="s">
        <v>85</v>
      </c>
      <c r="F46">
        <f ca="1">B47-B48</f>
        <v>45.1005092592241</v>
      </c>
      <c r="L46" t="s">
        <v>270</v>
      </c>
      <c r="M46">
        <f>1/M45</f>
        <v>0.503626136515772</v>
      </c>
      <c r="Q46">
        <f t="shared" si="5"/>
        <v>9</v>
      </c>
      <c r="R46">
        <f t="shared" si="6"/>
        <v>0</v>
      </c>
      <c r="S46">
        <f t="shared" si="7"/>
        <v>22</v>
      </c>
      <c r="T46">
        <f t="shared" si="8"/>
        <v>0</v>
      </c>
    </row>
    <row r="47" spans="2:20">
      <c r="B47" s="158">
        <v>44750.5833333333</v>
      </c>
      <c r="D47" t="s">
        <v>271</v>
      </c>
      <c r="F47">
        <f>365</f>
        <v>365</v>
      </c>
      <c r="Q47">
        <f t="shared" si="5"/>
        <v>16</v>
      </c>
      <c r="R47">
        <f t="shared" si="6"/>
        <v>0</v>
      </c>
      <c r="S47">
        <f t="shared" si="7"/>
        <v>18</v>
      </c>
      <c r="T47">
        <f t="shared" si="8"/>
        <v>0</v>
      </c>
    </row>
    <row r="48" spans="2:20">
      <c r="B48" s="158">
        <f ca="1">NOW()</f>
        <v>44705.4828240741</v>
      </c>
      <c r="Q48">
        <f t="shared" si="5"/>
        <v>8</v>
      </c>
      <c r="R48">
        <f t="shared" si="6"/>
        <v>0</v>
      </c>
      <c r="S48">
        <f t="shared" si="7"/>
        <v>7</v>
      </c>
      <c r="T48">
        <f t="shared" si="8"/>
        <v>999</v>
      </c>
    </row>
    <row r="49" spans="2:20">
      <c r="B49">
        <f ca="1">VLOOKUP('倾向-优先级表'!J29,D46:F47,3,0)</f>
        <v>45.1005092592241</v>
      </c>
      <c r="Q49">
        <f t="shared" si="5"/>
        <v>15</v>
      </c>
      <c r="R49">
        <f t="shared" si="6"/>
        <v>0</v>
      </c>
      <c r="S49">
        <f t="shared" si="7"/>
        <v>25</v>
      </c>
      <c r="T49">
        <f t="shared" si="8"/>
        <v>0</v>
      </c>
    </row>
    <row r="50" spans="17:20">
      <c r="Q50">
        <f t="shared" si="5"/>
        <v>12</v>
      </c>
      <c r="R50">
        <f t="shared" si="6"/>
        <v>0</v>
      </c>
      <c r="S50">
        <f t="shared" si="7"/>
        <v>20</v>
      </c>
      <c r="T50">
        <f t="shared" si="8"/>
        <v>0</v>
      </c>
    </row>
    <row r="51" spans="10:20">
      <c r="J51">
        <f>21*6</f>
        <v>126</v>
      </c>
      <c r="Q51">
        <f t="shared" si="5"/>
        <v>14</v>
      </c>
      <c r="R51">
        <f t="shared" si="6"/>
        <v>0</v>
      </c>
      <c r="S51">
        <f t="shared" si="7"/>
        <v>8</v>
      </c>
      <c r="T51">
        <f t="shared" si="8"/>
        <v>0</v>
      </c>
    </row>
    <row r="52" spans="3:20">
      <c r="C52" t="s">
        <v>272</v>
      </c>
      <c r="D52">
        <f ca="1">当前时间项目推荐!B11-B53</f>
        <v>319.899490740776</v>
      </c>
      <c r="Q52">
        <f t="shared" si="5"/>
        <v>23</v>
      </c>
      <c r="R52">
        <f t="shared" si="6"/>
        <v>0</v>
      </c>
      <c r="S52">
        <f t="shared" si="7"/>
        <v>15</v>
      </c>
      <c r="T52">
        <f t="shared" si="8"/>
        <v>0</v>
      </c>
    </row>
    <row r="53" spans="2:20">
      <c r="B53" s="158">
        <v>44385.5833333333</v>
      </c>
      <c r="Q53">
        <f t="shared" si="5"/>
        <v>24</v>
      </c>
      <c r="R53">
        <f t="shared" si="6"/>
        <v>0</v>
      </c>
      <c r="S53">
        <f t="shared" si="7"/>
        <v>10</v>
      </c>
      <c r="T53">
        <f t="shared" si="8"/>
        <v>0</v>
      </c>
    </row>
    <row r="54" spans="2:20">
      <c r="B54" s="159"/>
      <c r="D54">
        <f>8/('倾向-优先级表'!D29/('倾向-优先级表'!D30-1))</f>
        <v>3.98007153752946</v>
      </c>
      <c r="Q54">
        <f t="shared" si="5"/>
        <v>26</v>
      </c>
      <c r="R54">
        <f t="shared" si="6"/>
        <v>0</v>
      </c>
      <c r="S54">
        <f t="shared" si="7"/>
        <v>17</v>
      </c>
      <c r="T54">
        <f t="shared" si="8"/>
        <v>0</v>
      </c>
    </row>
    <row r="55" spans="2:20">
      <c r="B55" s="159"/>
      <c r="D55">
        <f ca="1">D52/7*7</f>
        <v>319.899490740776</v>
      </c>
      <c r="Q55">
        <f t="shared" si="5"/>
        <v>17</v>
      </c>
      <c r="R55">
        <f t="shared" si="6"/>
        <v>0</v>
      </c>
      <c r="S55">
        <f t="shared" si="7"/>
        <v>26</v>
      </c>
      <c r="T55">
        <f t="shared" si="8"/>
        <v>0</v>
      </c>
    </row>
    <row r="56" spans="2:4">
      <c r="B56" s="159"/>
      <c r="D56">
        <f ca="1">D55/D54</f>
        <v>80.3753117812918</v>
      </c>
    </row>
    <row r="58" spans="18:27">
      <c r="R58" t="s">
        <v>273</v>
      </c>
      <c r="S58" t="s">
        <v>274</v>
      </c>
      <c r="T58" t="s">
        <v>275</v>
      </c>
      <c r="U58" t="s">
        <v>276</v>
      </c>
      <c r="W58" t="s">
        <v>277</v>
      </c>
      <c r="Y58" t="s">
        <v>275</v>
      </c>
      <c r="AA58" t="s">
        <v>187</v>
      </c>
    </row>
    <row r="59" spans="12:28">
      <c r="L59" t="s">
        <v>188</v>
      </c>
      <c r="M59">
        <f>'倾向-优先级表'!H29/'倾向-优先级表'!D30</f>
        <v>0.0789043216402976</v>
      </c>
      <c r="R59">
        <f>Q3*G3</f>
        <v>0</v>
      </c>
      <c r="S59">
        <f>1-R59</f>
        <v>1</v>
      </c>
      <c r="T59">
        <f>R59*S59</f>
        <v>0</v>
      </c>
      <c r="U59">
        <f>(白天模拟!I33*V59+夜晚模拟!I33)/(V59*100)</f>
        <v>0.00012214477101005</v>
      </c>
      <c r="V59">
        <f>白天模拟!O60</f>
        <v>7.96014307505893</v>
      </c>
      <c r="W59">
        <f>U85</f>
        <v>0.0112562450733297</v>
      </c>
      <c r="X59">
        <f>U59/W59</f>
        <v>0.0108512892367151</v>
      </c>
      <c r="Y59">
        <f>X59*(1-X59)</f>
        <v>0.0107335387586162</v>
      </c>
      <c r="Z59">
        <f>Y59+T59</f>
        <v>0.0107335387586162</v>
      </c>
      <c r="AA59">
        <f ca="1">M60</f>
        <v>2785.96989489455</v>
      </c>
      <c r="AB59">
        <f ca="1">AA59*X59*Z59</f>
        <v>0.324489529394689</v>
      </c>
    </row>
    <row r="60" spans="4:28">
      <c r="D60">
        <v>0</v>
      </c>
      <c r="L60" t="s">
        <v>187</v>
      </c>
      <c r="M60">
        <f ca="1">D52*'倾向-优先级表'!D30-D56</f>
        <v>2785.96989489455</v>
      </c>
      <c r="R60">
        <f t="shared" ref="R60:R84" si="9">Q4*G4</f>
        <v>0</v>
      </c>
      <c r="S60">
        <f t="shared" ref="S60:S84" si="10">1-R60</f>
        <v>1</v>
      </c>
      <c r="T60">
        <f t="shared" ref="T60:T84" si="11">R60*S60</f>
        <v>0</v>
      </c>
      <c r="U60">
        <f>(白天模拟!I34*V60+夜晚模拟!I34)/(V60*100)</f>
        <v>1.4092502808103e-5</v>
      </c>
      <c r="V60">
        <f>V59</f>
        <v>7.96014307505893</v>
      </c>
      <c r="W60">
        <f>W59</f>
        <v>0.0112562450733297</v>
      </c>
      <c r="X60">
        <f t="shared" ref="X60:X84" si="12">U60/W60</f>
        <v>0.00125197192458908</v>
      </c>
      <c r="Y60">
        <f t="shared" ref="Y60:Y84" si="13">X60*(1-X60)</f>
        <v>0.00125040449088912</v>
      </c>
      <c r="Z60">
        <f t="shared" ref="Z60:Z84" si="14">Y60+T60</f>
        <v>0.00125040449088912</v>
      </c>
      <c r="AA60">
        <f ca="1">AA59</f>
        <v>2785.96989489455</v>
      </c>
      <c r="AB60">
        <f ca="1" t="shared" ref="AB60:AB84" si="15">AA60*X60*Z60</f>
        <v>0.00436135596040848</v>
      </c>
    </row>
    <row r="61" spans="2:28">
      <c r="B61">
        <v>1</v>
      </c>
      <c r="C61">
        <f>B61/100</f>
        <v>0.01</v>
      </c>
      <c r="D61">
        <f>(1/(2*PI())^0.5)*EXP(-((3-3*C61)^2))+D60</f>
        <v>5.88900428603413e-5</v>
      </c>
      <c r="E61">
        <f>D61/23.5697038852067</f>
        <v>2.49854826972617e-6</v>
      </c>
      <c r="G61">
        <f ca="1">N66-M66</f>
        <v>133.298334147786</v>
      </c>
      <c r="L61" t="s">
        <v>278</v>
      </c>
      <c r="M61">
        <f ca="1">AB85</f>
        <v>493.567941293743</v>
      </c>
      <c r="R61">
        <f t="shared" si="9"/>
        <v>0</v>
      </c>
      <c r="S61">
        <f t="shared" si="10"/>
        <v>1</v>
      </c>
      <c r="T61">
        <f t="shared" si="11"/>
        <v>0</v>
      </c>
      <c r="U61">
        <f>(白天模拟!I35*V61+夜晚模拟!I35)/(V61*100)</f>
        <v>4.04354457884961e-7</v>
      </c>
      <c r="V61">
        <f t="shared" ref="V61:V84" si="16">V60</f>
        <v>7.96014307505893</v>
      </c>
      <c r="W61">
        <f t="shared" ref="W61:W84" si="17">W60</f>
        <v>0.0112562450733297</v>
      </c>
      <c r="X61">
        <f t="shared" si="12"/>
        <v>3.59226771672757e-5</v>
      </c>
      <c r="Y61">
        <f t="shared" si="13"/>
        <v>3.59213867285408e-5</v>
      </c>
      <c r="Z61">
        <f t="shared" si="14"/>
        <v>3.59213867285408e-5</v>
      </c>
      <c r="AA61">
        <f ca="1" t="shared" ref="AA61:AA84" si="18">AA60</f>
        <v>2785.96989489455</v>
      </c>
      <c r="AB61">
        <f ca="1" t="shared" si="15"/>
        <v>3.59499432007811e-6</v>
      </c>
    </row>
    <row r="62" spans="2:28">
      <c r="B62">
        <v>2</v>
      </c>
      <c r="C62">
        <f t="shared" ref="C62:C93" si="19">B62/100</f>
        <v>0.02</v>
      </c>
      <c r="D62">
        <f t="shared" ref="D62:D93" si="20">(1/(2*PI())^0.5)*EXP(-((3-3*C62)^2))+D61</f>
        <v>0.000129204120153406</v>
      </c>
      <c r="E62">
        <f t="shared" ref="E62:E93" si="21">D62/23.5697038852067</f>
        <v>5.48178800984001e-6</v>
      </c>
      <c r="G62" t="e">
        <f>当前时间项目推荐!#REF!-当前时间项目推荐!#REF!+当前时间项目推荐!#REF!</f>
        <v>#REF!</v>
      </c>
      <c r="L62" t="s">
        <v>190</v>
      </c>
      <c r="M62">
        <f ca="1">M59*M60</f>
        <v>219.825064666946</v>
      </c>
      <c r="R62">
        <f t="shared" si="9"/>
        <v>0</v>
      </c>
      <c r="S62">
        <f t="shared" si="10"/>
        <v>1</v>
      </c>
      <c r="T62">
        <f t="shared" si="11"/>
        <v>0</v>
      </c>
      <c r="U62">
        <f>(白天模拟!I36*V62+夜晚模拟!I36)/(V62*100)</f>
        <v>4.61013428087823e-5</v>
      </c>
      <c r="V62">
        <f t="shared" si="16"/>
        <v>7.96014307505893</v>
      </c>
      <c r="W62">
        <f t="shared" si="17"/>
        <v>0.0112562450733297</v>
      </c>
      <c r="X62">
        <f t="shared" si="12"/>
        <v>0.004095623585703</v>
      </c>
      <c r="Y62">
        <f t="shared" si="13"/>
        <v>0.00407884945314723</v>
      </c>
      <c r="Z62">
        <f t="shared" si="14"/>
        <v>0.00407884945314723</v>
      </c>
      <c r="AA62">
        <f ca="1" t="shared" si="18"/>
        <v>2785.96989489455</v>
      </c>
      <c r="AB62">
        <f ca="1" t="shared" si="15"/>
        <v>0.046540830696844</v>
      </c>
    </row>
    <row r="63" spans="2:28">
      <c r="B63">
        <v>3</v>
      </c>
      <c r="C63">
        <f t="shared" si="19"/>
        <v>0.03</v>
      </c>
      <c r="D63">
        <f t="shared" si="20"/>
        <v>0.00021300738986455</v>
      </c>
      <c r="E63">
        <f t="shared" si="21"/>
        <v>9.03733839432076e-6</v>
      </c>
      <c r="G63" t="e">
        <f ca="1">G62/G61</f>
        <v>#REF!</v>
      </c>
      <c r="L63" t="s">
        <v>191</v>
      </c>
      <c r="M63">
        <f ca="1">M61^0.5</f>
        <v>22.216389024631</v>
      </c>
      <c r="R63">
        <f t="shared" si="9"/>
        <v>0.052</v>
      </c>
      <c r="S63">
        <f t="shared" si="10"/>
        <v>0.948</v>
      </c>
      <c r="T63">
        <f t="shared" si="11"/>
        <v>0.049296</v>
      </c>
      <c r="U63">
        <f>(白天模拟!I37*V63+夜晚模拟!I37)/(V63*100)</f>
        <v>0.00243213103869298</v>
      </c>
      <c r="V63">
        <f t="shared" si="16"/>
        <v>7.96014307505893</v>
      </c>
      <c r="W63">
        <f t="shared" si="17"/>
        <v>0.0112562450733297</v>
      </c>
      <c r="X63">
        <f t="shared" si="12"/>
        <v>0.21606948168316</v>
      </c>
      <c r="Y63">
        <f t="shared" si="13"/>
        <v>0.169383460768331</v>
      </c>
      <c r="Z63">
        <f t="shared" si="14"/>
        <v>0.218679460768331</v>
      </c>
      <c r="AA63">
        <f ca="1" t="shared" si="18"/>
        <v>2785.96989489455</v>
      </c>
      <c r="AB63">
        <f ca="1" t="shared" si="15"/>
        <v>131.636959806943</v>
      </c>
    </row>
    <row r="64" spans="2:28">
      <c r="B64">
        <v>4</v>
      </c>
      <c r="C64">
        <f t="shared" si="19"/>
        <v>0.04</v>
      </c>
      <c r="D64">
        <f t="shared" si="20"/>
        <v>0.000312708022741402</v>
      </c>
      <c r="E64">
        <f t="shared" si="21"/>
        <v>1.3267371718559e-5</v>
      </c>
      <c r="G64" t="e">
        <f ca="1">G63*200</f>
        <v>#REF!</v>
      </c>
      <c r="L64" t="s">
        <v>279</v>
      </c>
      <c r="M64">
        <f ca="1">3*M63/M62</f>
        <v>0.303191845638131</v>
      </c>
      <c r="R64">
        <f t="shared" si="9"/>
        <v>0.094</v>
      </c>
      <c r="S64">
        <f t="shared" si="10"/>
        <v>0.906</v>
      </c>
      <c r="T64">
        <f t="shared" si="11"/>
        <v>0.085164</v>
      </c>
      <c r="U64">
        <f>(白天模拟!I38*V64+夜晚模拟!I38)/(V64*100)</f>
        <v>0.00157412561113658</v>
      </c>
      <c r="V64">
        <f t="shared" si="16"/>
        <v>7.96014307505893</v>
      </c>
      <c r="W64">
        <f t="shared" si="17"/>
        <v>0.0112562450733297</v>
      </c>
      <c r="X64">
        <f t="shared" si="12"/>
        <v>0.139844646316939</v>
      </c>
      <c r="Y64">
        <f t="shared" si="13"/>
        <v>0.120288121213429</v>
      </c>
      <c r="Z64">
        <f t="shared" si="14"/>
        <v>0.205452121213429</v>
      </c>
      <c r="AA64">
        <f ca="1" t="shared" si="18"/>
        <v>2785.96989489455</v>
      </c>
      <c r="AB64">
        <f ca="1" t="shared" si="15"/>
        <v>80.0447575628717</v>
      </c>
    </row>
    <row r="65" spans="2:28">
      <c r="B65">
        <v>5</v>
      </c>
      <c r="C65">
        <f t="shared" si="19"/>
        <v>0.05</v>
      </c>
      <c r="D65">
        <f t="shared" si="20"/>
        <v>0.000431108413735515</v>
      </c>
      <c r="E65">
        <f t="shared" si="21"/>
        <v>1.82907861649504e-5</v>
      </c>
      <c r="G65" t="e">
        <f ca="1">ROUND(G64,0)/100</f>
        <v>#REF!</v>
      </c>
      <c r="M65" t="s">
        <v>280</v>
      </c>
      <c r="N65" t="s">
        <v>281</v>
      </c>
      <c r="R65">
        <f t="shared" si="9"/>
        <v>0.204</v>
      </c>
      <c r="S65">
        <f t="shared" si="10"/>
        <v>0.796</v>
      </c>
      <c r="T65">
        <f t="shared" si="11"/>
        <v>0.162384</v>
      </c>
      <c r="U65">
        <f>(白天模拟!I39*V65+夜晚模拟!I39)/(V65*100)</f>
        <v>0.000996429858520163</v>
      </c>
      <c r="V65">
        <f t="shared" si="16"/>
        <v>7.96014307505893</v>
      </c>
      <c r="W65">
        <f t="shared" si="17"/>
        <v>0.0112562450733297</v>
      </c>
      <c r="X65">
        <f t="shared" si="12"/>
        <v>0.0885224026332796</v>
      </c>
      <c r="Y65">
        <f t="shared" si="13"/>
        <v>0.0806861868653112</v>
      </c>
      <c r="Z65">
        <f t="shared" si="14"/>
        <v>0.243070186865311</v>
      </c>
      <c r="AA65">
        <f ca="1" t="shared" si="18"/>
        <v>2785.96989489455</v>
      </c>
      <c r="AB65">
        <f ca="1" t="shared" si="15"/>
        <v>59.9461514859685</v>
      </c>
    </row>
    <row r="66" spans="2:28">
      <c r="B66">
        <v>6</v>
      </c>
      <c r="C66">
        <f t="shared" si="19"/>
        <v>0.06</v>
      </c>
      <c r="D66">
        <f t="shared" si="20"/>
        <v>0.000571463006336577</v>
      </c>
      <c r="E66">
        <f t="shared" si="21"/>
        <v>2.42456591359746e-5</v>
      </c>
      <c r="G66" t="e">
        <f ca="1">VLOOKUP(G65,C61:E260,3,0)</f>
        <v>#REF!</v>
      </c>
      <c r="L66" t="s">
        <v>282</v>
      </c>
      <c r="M66">
        <f ca="1">M62*(1-M64)</f>
        <v>153.175897593053</v>
      </c>
      <c r="N66">
        <f ca="1">M62*(1+M64)</f>
        <v>286.474231740839</v>
      </c>
      <c r="R66">
        <f t="shared" si="9"/>
        <v>0.408</v>
      </c>
      <c r="S66">
        <f t="shared" si="10"/>
        <v>0.592</v>
      </c>
      <c r="T66">
        <f t="shared" si="11"/>
        <v>0.241536</v>
      </c>
      <c r="U66">
        <f>(白天模拟!I40*V66+夜晚模拟!I40)/(V66*100)</f>
        <v>0.00053686757111223</v>
      </c>
      <c r="V66">
        <f t="shared" si="16"/>
        <v>7.96014307505893</v>
      </c>
      <c r="W66">
        <f t="shared" si="17"/>
        <v>0.0112562450733297</v>
      </c>
      <c r="X66">
        <f t="shared" si="12"/>
        <v>0.0476950854938537</v>
      </c>
      <c r="Y66">
        <f t="shared" si="13"/>
        <v>0.0454202643135877</v>
      </c>
      <c r="Z66">
        <f t="shared" si="14"/>
        <v>0.286956264313588</v>
      </c>
      <c r="AA66">
        <f ca="1" t="shared" si="18"/>
        <v>2785.96989489455</v>
      </c>
      <c r="AB66">
        <f ca="1" t="shared" si="15"/>
        <v>38.1299082859592</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0.00082991628719016</v>
      </c>
      <c r="V67">
        <f t="shared" si="16"/>
        <v>7.96014307505893</v>
      </c>
      <c r="W67">
        <f t="shared" si="17"/>
        <v>0.0112562450733297</v>
      </c>
      <c r="X67">
        <f t="shared" si="12"/>
        <v>0.0737294081448657</v>
      </c>
      <c r="Y67">
        <f t="shared" si="13"/>
        <v>0.0682933825194735</v>
      </c>
      <c r="Z67">
        <f t="shared" si="14"/>
        <v>0.102068382519474</v>
      </c>
      <c r="AA67">
        <f ca="1" t="shared" si="18"/>
        <v>2785.96989489455</v>
      </c>
      <c r="AB67">
        <f ca="1" t="shared" si="15"/>
        <v>20.9656532794244</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0.000156638149676852</v>
      </c>
      <c r="V68">
        <f t="shared" si="16"/>
        <v>7.96014307505893</v>
      </c>
      <c r="W68">
        <f t="shared" si="17"/>
        <v>0.0112562450733297</v>
      </c>
      <c r="X68">
        <f t="shared" si="12"/>
        <v>0.0139156662507275</v>
      </c>
      <c r="Y68">
        <f t="shared" si="13"/>
        <v>0.0137220204835259</v>
      </c>
      <c r="Z68">
        <f t="shared" si="14"/>
        <v>0.0612220204835259</v>
      </c>
      <c r="AA68">
        <f ca="1" t="shared" si="18"/>
        <v>2785.96989489455</v>
      </c>
      <c r="AB68">
        <f ca="1" t="shared" si="15"/>
        <v>2.37349369112343</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5.63381550820521e-5</v>
      </c>
      <c r="V69">
        <f t="shared" si="16"/>
        <v>7.96014307505893</v>
      </c>
      <c r="W69">
        <f t="shared" si="17"/>
        <v>0.0112562450733297</v>
      </c>
      <c r="X69">
        <f t="shared" si="12"/>
        <v>0.00500505761157763</v>
      </c>
      <c r="Y69">
        <f t="shared" si="13"/>
        <v>0.00498000700988241</v>
      </c>
      <c r="Z69">
        <f t="shared" si="14"/>
        <v>0.0852360070098824</v>
      </c>
      <c r="AA69">
        <f ca="1" t="shared" si="18"/>
        <v>2785.96989489455</v>
      </c>
      <c r="AB69">
        <f ca="1" t="shared" si="15"/>
        <v>1.18852575293059</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9.21000987457648e-5</v>
      </c>
      <c r="V70">
        <f t="shared" si="16"/>
        <v>7.96014307505893</v>
      </c>
      <c r="W70">
        <f t="shared" si="17"/>
        <v>0.0112562450733297</v>
      </c>
      <c r="X70">
        <f t="shared" si="12"/>
        <v>0.00818213339757364</v>
      </c>
      <c r="Y70">
        <f t="shared" si="13"/>
        <v>0.00811518609063795</v>
      </c>
      <c r="Z70">
        <f t="shared" si="14"/>
        <v>0.117490186090638</v>
      </c>
      <c r="AA70">
        <f ca="1" t="shared" si="18"/>
        <v>2785.96989489455</v>
      </c>
      <c r="AB70">
        <f ca="1" t="shared" si="15"/>
        <v>2.67820962548992</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0.000813339909488445</v>
      </c>
      <c r="V71">
        <f t="shared" si="16"/>
        <v>7.96014307505893</v>
      </c>
      <c r="W71">
        <f t="shared" si="17"/>
        <v>0.0112562450733297</v>
      </c>
      <c r="X71">
        <f t="shared" si="12"/>
        <v>0.0722567698366441</v>
      </c>
      <c r="Y71">
        <f t="shared" si="13"/>
        <v>0.0670357290494183</v>
      </c>
      <c r="Z71">
        <f t="shared" si="14"/>
        <v>0.100810729049418</v>
      </c>
      <c r="AA71">
        <f ca="1" t="shared" si="18"/>
        <v>2785.96989489455</v>
      </c>
      <c r="AB71">
        <f ca="1" t="shared" si="15"/>
        <v>20.2937225083783</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0.00013451545537546</v>
      </c>
      <c r="V72">
        <f t="shared" si="16"/>
        <v>7.96014307505893</v>
      </c>
      <c r="W72">
        <f t="shared" si="17"/>
        <v>0.0112562450733297</v>
      </c>
      <c r="X72">
        <f t="shared" si="12"/>
        <v>0.011950295546974</v>
      </c>
      <c r="Y72">
        <f t="shared" si="13"/>
        <v>0.011807485983314</v>
      </c>
      <c r="Z72">
        <f t="shared" si="14"/>
        <v>0.059307485983314</v>
      </c>
      <c r="AA72">
        <f ca="1" t="shared" si="18"/>
        <v>2785.96989489455</v>
      </c>
      <c r="AB72">
        <f ca="1" t="shared" si="15"/>
        <v>1.97453383526484</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3.86699809152775e-5</v>
      </c>
      <c r="V73">
        <f t="shared" si="16"/>
        <v>7.96014307505893</v>
      </c>
      <c r="W73">
        <f t="shared" si="17"/>
        <v>0.0112562450733297</v>
      </c>
      <c r="X73">
        <f t="shared" si="12"/>
        <v>0.00343542457216939</v>
      </c>
      <c r="Y73">
        <f t="shared" si="13"/>
        <v>0.00342362243017832</v>
      </c>
      <c r="Z73">
        <f t="shared" si="14"/>
        <v>0.0836796224301783</v>
      </c>
      <c r="AA73">
        <f ca="1" t="shared" si="18"/>
        <v>2785.96989489455</v>
      </c>
      <c r="AB73">
        <f ca="1" t="shared" si="15"/>
        <v>0.80089678214084</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6.21601695053557e-5</v>
      </c>
      <c r="V74">
        <f t="shared" si="16"/>
        <v>7.96014307505893</v>
      </c>
      <c r="W74">
        <f t="shared" si="17"/>
        <v>0.0112562450733297</v>
      </c>
      <c r="X74">
        <f t="shared" si="12"/>
        <v>0.00552228288389319</v>
      </c>
      <c r="Y74">
        <f t="shared" si="13"/>
        <v>0.00549178727564345</v>
      </c>
      <c r="Z74">
        <f t="shared" si="14"/>
        <v>0.114866787275643</v>
      </c>
      <c r="AA74">
        <f ca="1" t="shared" si="18"/>
        <v>2785.96989489455</v>
      </c>
      <c r="AB74">
        <f ca="1" t="shared" si="15"/>
        <v>1.76721562825602</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0.0016578560737142</v>
      </c>
      <c r="V75">
        <f t="shared" si="16"/>
        <v>7.96014307505893</v>
      </c>
      <c r="W75">
        <f t="shared" si="17"/>
        <v>0.0112562450733297</v>
      </c>
      <c r="X75">
        <f t="shared" si="12"/>
        <v>0.147283224815555</v>
      </c>
      <c r="Y75">
        <f t="shared" si="13"/>
        <v>0.125590876503486</v>
      </c>
      <c r="Z75">
        <f t="shared" si="14"/>
        <v>0.149014876503486</v>
      </c>
      <c r="AA75">
        <f ca="1" t="shared" si="18"/>
        <v>2785.96989489455</v>
      </c>
      <c r="AB75">
        <f ca="1" t="shared" si="15"/>
        <v>61.1447721490561</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5.12323337868954e-5</v>
      </c>
      <c r="V76">
        <f t="shared" si="16"/>
        <v>7.96014307505893</v>
      </c>
      <c r="W76">
        <f t="shared" si="17"/>
        <v>0.0112562450733297</v>
      </c>
      <c r="X76">
        <f t="shared" si="12"/>
        <v>0.00455145863057692</v>
      </c>
      <c r="Y76">
        <f t="shared" si="13"/>
        <v>0.00453074285491106</v>
      </c>
      <c r="Z76">
        <f t="shared" si="14"/>
        <v>0.0383057428549111</v>
      </c>
      <c r="AA76">
        <f ca="1" t="shared" si="18"/>
        <v>2785.96989489455</v>
      </c>
      <c r="AB76">
        <f ca="1" t="shared" si="15"/>
        <v>0.485725504179622</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0.00131760489547498</v>
      </c>
      <c r="V77">
        <f t="shared" si="16"/>
        <v>7.96014307505893</v>
      </c>
      <c r="W77">
        <f t="shared" si="17"/>
        <v>0.0112562450733297</v>
      </c>
      <c r="X77">
        <f t="shared" si="12"/>
        <v>0.117055455606318</v>
      </c>
      <c r="Y77">
        <f t="shared" si="13"/>
        <v>0.103353475919115</v>
      </c>
      <c r="Z77">
        <f t="shared" si="14"/>
        <v>0.196537475919115</v>
      </c>
      <c r="AA77">
        <f ca="1" t="shared" si="18"/>
        <v>2785.96989489455</v>
      </c>
      <c r="AB77">
        <f ca="1" t="shared" si="15"/>
        <v>64.0934210402269</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1.4025427991852e-5</v>
      </c>
      <c r="V78">
        <f t="shared" si="16"/>
        <v>7.96014307505893</v>
      </c>
      <c r="W78">
        <f t="shared" si="17"/>
        <v>0.0112562450733297</v>
      </c>
      <c r="X78">
        <f t="shared" si="12"/>
        <v>0.00124601302658944</v>
      </c>
      <c r="Y78">
        <f t="shared" si="13"/>
        <v>0.00124446047812701</v>
      </c>
      <c r="Z78">
        <f t="shared" si="14"/>
        <v>0.035948460478127</v>
      </c>
      <c r="AA78">
        <f ca="1" t="shared" si="18"/>
        <v>2785.96989489455</v>
      </c>
      <c r="AB78">
        <f ca="1" t="shared" si="15"/>
        <v>0.124789860140436</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0.000109795975896914</v>
      </c>
      <c r="V79">
        <f t="shared" si="16"/>
        <v>7.96014307505893</v>
      </c>
      <c r="W79">
        <f t="shared" si="17"/>
        <v>0.0112562450733297</v>
      </c>
      <c r="X79">
        <f t="shared" si="12"/>
        <v>0.00975422755827001</v>
      </c>
      <c r="Y79">
        <f t="shared" si="13"/>
        <v>0.0096590826030115</v>
      </c>
      <c r="Z79">
        <f t="shared" si="14"/>
        <v>0.0498950826030115</v>
      </c>
      <c r="AA79">
        <f ca="1" t="shared" si="18"/>
        <v>2785.96989489455</v>
      </c>
      <c r="AB79">
        <f ca="1" t="shared" si="15"/>
        <v>1.35589808764594</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4.72265272909398e-5</v>
      </c>
      <c r="V80">
        <f t="shared" si="16"/>
        <v>7.96014307505893</v>
      </c>
      <c r="W80">
        <f t="shared" si="17"/>
        <v>0.0112562450733297</v>
      </c>
      <c r="X80">
        <f t="shared" si="12"/>
        <v>0.00419558449405452</v>
      </c>
      <c r="Y80">
        <f t="shared" si="13"/>
        <v>0.00417798156480777</v>
      </c>
      <c r="Z80">
        <f t="shared" si="14"/>
        <v>0.0877139815648078</v>
      </c>
      <c r="AA80">
        <f ca="1" t="shared" si="18"/>
        <v>2785.96989489455</v>
      </c>
      <c r="AB80">
        <f ca="1" t="shared" si="15"/>
        <v>1.02526873978611</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2.56030065301338e-5</v>
      </c>
      <c r="V81">
        <f t="shared" si="16"/>
        <v>7.96014307505893</v>
      </c>
      <c r="W81">
        <f t="shared" si="17"/>
        <v>0.0112562450733297</v>
      </c>
      <c r="X81">
        <f t="shared" si="12"/>
        <v>0.00227456015423802</v>
      </c>
      <c r="Y81">
        <f t="shared" si="13"/>
        <v>0.00226938653034277</v>
      </c>
      <c r="Z81">
        <f t="shared" si="14"/>
        <v>0.0690853865303428</v>
      </c>
      <c r="AA81">
        <f ca="1" t="shared" si="18"/>
        <v>2785.96989489455</v>
      </c>
      <c r="AB81">
        <f ca="1" t="shared" si="15"/>
        <v>0.437784154011376</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0.000114721234981554</v>
      </c>
      <c r="V82">
        <f t="shared" si="16"/>
        <v>7.96014307505893</v>
      </c>
      <c r="W82">
        <f t="shared" si="17"/>
        <v>0.0112562450733297</v>
      </c>
      <c r="X82">
        <f t="shared" si="12"/>
        <v>0.0101917854696831</v>
      </c>
      <c r="Y82">
        <f t="shared" si="13"/>
        <v>0.010087912978623</v>
      </c>
      <c r="Z82">
        <f t="shared" si="14"/>
        <v>0.090343912978623</v>
      </c>
      <c r="AA82">
        <f ca="1" t="shared" si="18"/>
        <v>2785.96989489455</v>
      </c>
      <c r="AB82">
        <f ca="1" t="shared" si="15"/>
        <v>2.5652257421307</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3.8494802209242e-6</v>
      </c>
      <c r="V83">
        <f t="shared" si="16"/>
        <v>7.96014307505893</v>
      </c>
      <c r="W83">
        <f t="shared" si="17"/>
        <v>0.0112562450733297</v>
      </c>
      <c r="X83">
        <f t="shared" si="12"/>
        <v>0.000341986177081829</v>
      </c>
      <c r="Y83">
        <f t="shared" si="13"/>
        <v>0.000341869222536514</v>
      </c>
      <c r="Z83">
        <f t="shared" si="14"/>
        <v>0.0966778692225365</v>
      </c>
      <c r="AA83">
        <f ca="1" t="shared" si="18"/>
        <v>2785.96989489455</v>
      </c>
      <c r="AB83">
        <f ca="1" t="shared" si="15"/>
        <v>0.0921111154521812</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8.35486091518471e-6</v>
      </c>
      <c r="V84">
        <f t="shared" si="16"/>
        <v>7.96014307505893</v>
      </c>
      <c r="W84">
        <f t="shared" si="17"/>
        <v>0.0112562450733297</v>
      </c>
      <c r="X84">
        <f t="shared" si="12"/>
        <v>0.00074224227180168</v>
      </c>
      <c r="Y84">
        <f t="shared" si="13"/>
        <v>0.00074169134821163</v>
      </c>
      <c r="Z84">
        <f t="shared" si="14"/>
        <v>0.0326526913482116</v>
      </c>
      <c r="AA84">
        <f ca="1" t="shared" si="18"/>
        <v>2785.96989489455</v>
      </c>
      <c r="AB84">
        <f ca="1" t="shared" si="15"/>
        <v>0.0675213453159738</v>
      </c>
    </row>
    <row r="85" spans="2:28">
      <c r="B85">
        <v>25</v>
      </c>
      <c r="C85">
        <f t="shared" si="19"/>
        <v>0.25</v>
      </c>
      <c r="D85">
        <f t="shared" si="20"/>
        <v>0.0182435843048765</v>
      </c>
      <c r="E85">
        <f t="shared" si="21"/>
        <v>0.000774026877627722</v>
      </c>
      <c r="U85">
        <f>SUM(U59:U84)</f>
        <v>0.0112562450733297</v>
      </c>
      <c r="AB85">
        <f ca="1">SUM(AB59:AB84)</f>
        <v>493.567941293743</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20">
      <c r="B93">
        <v>33</v>
      </c>
      <c r="C93">
        <f t="shared" si="19"/>
        <v>0.33</v>
      </c>
      <c r="D93">
        <f t="shared" si="20"/>
        <v>0.0560348361177683</v>
      </c>
      <c r="E93">
        <f t="shared" si="21"/>
        <v>0.00237740942315945</v>
      </c>
      <c r="S93" s="255">
        <f>毕业时间预测!E9</f>
        <v>44750.5833333333</v>
      </c>
      <c r="T93" s="255"/>
    </row>
    <row r="94" spans="2:20">
      <c r="B94">
        <v>34</v>
      </c>
      <c r="C94">
        <f t="shared" ref="C94:C125" si="22">B94/100</f>
        <v>0.34</v>
      </c>
      <c r="D94">
        <f t="shared" ref="D94:D125" si="23">(1/(2*PI())^0.5)*EXP(-((3-3*C94)^2))+D93</f>
        <v>0.0639471221532668</v>
      </c>
      <c r="E94">
        <f t="shared" ref="E94:E125" si="24">D94/23.5697038852067</f>
        <v>0.00271310672652967</v>
      </c>
      <c r="P94" t="s">
        <v>283</v>
      </c>
      <c r="R94" t="s">
        <v>261</v>
      </c>
      <c r="S94" s="256">
        <f ca="1">S93-NOW()</f>
        <v>45.1005092592241</v>
      </c>
      <c r="T94" s="256"/>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17">
      <c r="B98">
        <v>38</v>
      </c>
      <c r="C98">
        <f t="shared" si="22"/>
        <v>0.38</v>
      </c>
      <c r="D98">
        <f t="shared" si="23"/>
        <v>0.106600476057905</v>
      </c>
      <c r="E98">
        <f t="shared" si="24"/>
        <v>0.00452277536353828</v>
      </c>
      <c r="Q98" t="s">
        <v>284</v>
      </c>
    </row>
    <row r="99" spans="2:20">
      <c r="B99">
        <v>39</v>
      </c>
      <c r="C99">
        <f t="shared" si="22"/>
        <v>0.39</v>
      </c>
      <c r="D99">
        <f t="shared" si="23"/>
        <v>0.120612513055831</v>
      </c>
      <c r="E99">
        <f t="shared" si="24"/>
        <v>0.00511726891620102</v>
      </c>
      <c r="L99" t="s">
        <v>285</v>
      </c>
      <c r="M99" t="s">
        <v>286</v>
      </c>
      <c r="N99" t="s">
        <v>287</v>
      </c>
      <c r="O99">
        <f>毕业时间预测!C5</f>
        <v>300</v>
      </c>
      <c r="P99">
        <f>毕业时间预测!D5</f>
        <v>343</v>
      </c>
      <c r="Q99">
        <f>IF((P99-O99)&gt;0,P99-O99,0)</f>
        <v>43</v>
      </c>
      <c r="R99">
        <f>SMALL(Q99:Q101,1)</f>
        <v>43</v>
      </c>
      <c r="S99">
        <v>0</v>
      </c>
      <c r="T99">
        <f>0</f>
        <v>0</v>
      </c>
    </row>
    <row r="100" spans="2:20">
      <c r="B100">
        <v>40</v>
      </c>
      <c r="C100">
        <f t="shared" si="22"/>
        <v>0.4</v>
      </c>
      <c r="D100">
        <f t="shared" si="23"/>
        <v>0.136236646676023</v>
      </c>
      <c r="E100">
        <f t="shared" si="24"/>
        <v>0.00578015945128316</v>
      </c>
      <c r="K100" t="s">
        <v>288</v>
      </c>
      <c r="L100">
        <f>白天模拟!B55/(白天模拟!E52+白天模拟!E56+白天模拟!E57+白天模拟!B55)*N100</f>
        <v>2.34461087339113</v>
      </c>
      <c r="M100">
        <f>(白天模拟!E52+白天模拟!E56+白天模拟!E57)/(白天模拟!E52+白天模拟!E56+白天模拟!E57+白天模拟!B55)*N100</f>
        <v>0.10995371516427</v>
      </c>
      <c r="N100">
        <f>'倾向-优先级表'!H30</f>
        <v>2.4545645885554</v>
      </c>
      <c r="O100">
        <f>毕业时间预测!C6</f>
        <v>200</v>
      </c>
      <c r="P100">
        <f>毕业时间预测!D6</f>
        <v>343</v>
      </c>
      <c r="Q100">
        <f>IF((P100-O100)&gt;0,P100-O100,0)</f>
        <v>143</v>
      </c>
      <c r="R100">
        <f>SMALL(Q99:Q101,2)</f>
        <v>143</v>
      </c>
      <c r="S100">
        <f>R100-R99</f>
        <v>100</v>
      </c>
      <c r="T100">
        <f>0</f>
        <v>0</v>
      </c>
    </row>
    <row r="101" spans="2:20">
      <c r="B101">
        <v>41</v>
      </c>
      <c r="C101">
        <f t="shared" si="22"/>
        <v>0.41</v>
      </c>
      <c r="D101">
        <f t="shared" si="23"/>
        <v>0.153627019128793</v>
      </c>
      <c r="E101">
        <f t="shared" si="24"/>
        <v>0.00651798681379345</v>
      </c>
      <c r="H101">
        <f>'倾向-优先级表'!H30</f>
        <v>2.4545645885554</v>
      </c>
      <c r="K101" t="s">
        <v>289</v>
      </c>
      <c r="L101">
        <f>白天模拟!F54/(白天模拟!F52+白天模拟!F56+白天模拟!F57+白天模拟!F54)*N101</f>
        <v>2.64143840132619</v>
      </c>
      <c r="M101">
        <f>(白天模拟!F52+白天模拟!F56+白天模拟!F57)/(白天模拟!F52+白天模拟!F56+白天模拟!F57+白天模拟!F54)*N101</f>
        <v>3.53947600148672</v>
      </c>
      <c r="N101">
        <f>'倾向-优先级表'!H31</f>
        <v>6.18091440281291</v>
      </c>
      <c r="O101">
        <f>毕业时间预测!C7</f>
        <v>100</v>
      </c>
      <c r="P101">
        <f>毕业时间预测!D7</f>
        <v>343</v>
      </c>
      <c r="Q101">
        <f>IF((P101-O101)&gt;0,P101-O101,0)</f>
        <v>243</v>
      </c>
      <c r="R101">
        <f>SMALL(Q99:Q101,3)</f>
        <v>243</v>
      </c>
      <c r="S101">
        <f>R101-R99</f>
        <v>200</v>
      </c>
      <c r="T101">
        <f>S101-S100</f>
        <v>100</v>
      </c>
    </row>
    <row r="102" spans="2:19">
      <c r="B102">
        <v>42</v>
      </c>
      <c r="C102">
        <f t="shared" si="22"/>
        <v>0.42</v>
      </c>
      <c r="D102">
        <f t="shared" si="23"/>
        <v>0.172948485900776</v>
      </c>
      <c r="E102">
        <f t="shared" si="24"/>
        <v>0.00733774538463019</v>
      </c>
      <c r="H102">
        <f>'倾向-优先级表'!H31</f>
        <v>6.18091440281291</v>
      </c>
      <c r="S102" s="158"/>
    </row>
    <row r="103" spans="2:20">
      <c r="B103">
        <v>43</v>
      </c>
      <c r="C103">
        <f t="shared" si="22"/>
        <v>0.43</v>
      </c>
      <c r="D103">
        <f t="shared" si="23"/>
        <v>0.194376877345886</v>
      </c>
      <c r="E103">
        <f t="shared" si="24"/>
        <v>0.00824689517919164</v>
      </c>
      <c r="H103">
        <f>'倾向-优先级表'!H29</f>
        <v>0.706994011137535</v>
      </c>
      <c r="R103" t="s">
        <v>290</v>
      </c>
      <c r="S103" t="s">
        <v>291</v>
      </c>
      <c r="T103" t="s">
        <v>292</v>
      </c>
    </row>
    <row r="104" spans="2:20">
      <c r="B104">
        <v>44</v>
      </c>
      <c r="C104">
        <f t="shared" si="22"/>
        <v>0.44</v>
      </c>
      <c r="D104">
        <f t="shared" si="23"/>
        <v>0.218099206091681</v>
      </c>
      <c r="E104">
        <f t="shared" si="24"/>
        <v>0.00925337064707755</v>
      </c>
      <c r="R104">
        <f>N101/3</f>
        <v>2.06030480093764</v>
      </c>
      <c r="S104">
        <f>L101/2+M101/3</f>
        <v>2.500544534492</v>
      </c>
      <c r="T104">
        <f>L101+M101/3</f>
        <v>3.82126373515509</v>
      </c>
    </row>
    <row r="105" spans="2:20">
      <c r="B105">
        <v>45</v>
      </c>
      <c r="C105">
        <f t="shared" si="22"/>
        <v>0.45</v>
      </c>
      <c r="D105">
        <f t="shared" si="23"/>
        <v>0.244313812338863</v>
      </c>
      <c r="E105">
        <f t="shared" si="24"/>
        <v>0.0103655868367614</v>
      </c>
      <c r="R105" t="s">
        <v>293</v>
      </c>
      <c r="S105" t="s">
        <v>294</v>
      </c>
      <c r="T105" t="s">
        <v>295</v>
      </c>
    </row>
    <row r="106" spans="2:20">
      <c r="B106">
        <v>46</v>
      </c>
      <c r="C106">
        <f t="shared" si="22"/>
        <v>0.46</v>
      </c>
      <c r="D106">
        <f t="shared" si="23"/>
        <v>0.273230438973862</v>
      </c>
      <c r="E106">
        <f t="shared" si="24"/>
        <v>0.0115924425824184</v>
      </c>
      <c r="R106">
        <f>R99/R104</f>
        <v>20.8706983454248</v>
      </c>
      <c r="S106">
        <f>S100/S104</f>
        <v>39.9912893454287</v>
      </c>
      <c r="T106">
        <f>T101/T104</f>
        <v>26.1693531069353</v>
      </c>
    </row>
    <row r="107" spans="2:20">
      <c r="B107">
        <v>47</v>
      </c>
      <c r="C107">
        <f t="shared" si="22"/>
        <v>0.47</v>
      </c>
      <c r="D107">
        <f t="shared" si="23"/>
        <v>0.305070228346631</v>
      </c>
      <c r="E107">
        <f t="shared" si="24"/>
        <v>0.0129433203672154</v>
      </c>
      <c r="G107">
        <f>毕业时间预测!C3</f>
        <v>100</v>
      </c>
      <c r="H107">
        <f>毕业时间预测!D3</f>
        <v>513</v>
      </c>
      <c r="R107">
        <f>R106</f>
        <v>20.8706983454248</v>
      </c>
      <c r="S107">
        <f>R107+S106</f>
        <v>60.8619876908536</v>
      </c>
      <c r="T107">
        <f>S107+T106</f>
        <v>87.0313407977888</v>
      </c>
    </row>
    <row r="108" spans="2:18">
      <c r="B108">
        <v>48</v>
      </c>
      <c r="C108">
        <f t="shared" si="22"/>
        <v>0.48</v>
      </c>
      <c r="D108">
        <f t="shared" si="23"/>
        <v>0.340065632598466</v>
      </c>
      <c r="E108">
        <f t="shared" si="24"/>
        <v>0.0144280825187586</v>
      </c>
      <c r="G108">
        <f>毕业时间预测!C4</f>
        <v>1</v>
      </c>
      <c r="H108">
        <f>毕业时间预测!D4</f>
        <v>513</v>
      </c>
      <c r="Q108">
        <f>IF(O99&gt;O100,0,1)+IF(O99&gt;O101,0,1)+1</f>
        <v>1</v>
      </c>
      <c r="R108">
        <f>SMALL(R107:T107,Q108)</f>
        <v>20.8706983454248</v>
      </c>
    </row>
    <row r="109" spans="2:18">
      <c r="B109">
        <v>49</v>
      </c>
      <c r="C109">
        <f t="shared" si="22"/>
        <v>0.49</v>
      </c>
      <c r="D109">
        <f t="shared" si="23"/>
        <v>0.378460229568073</v>
      </c>
      <c r="E109">
        <f t="shared" si="24"/>
        <v>0.0160570633984761</v>
      </c>
      <c r="Q109">
        <f>IF(O100&gt;=O99,0,1)+IF(O100&gt;O101,0,1)+1</f>
        <v>2</v>
      </c>
      <c r="R109">
        <f>SMALL(R107:T107,Q109)</f>
        <v>60.8619876908536</v>
      </c>
    </row>
    <row r="110" spans="2:18">
      <c r="B110">
        <v>50</v>
      </c>
      <c r="C110">
        <f t="shared" si="22"/>
        <v>0.5</v>
      </c>
      <c r="D110">
        <f t="shared" si="23"/>
        <v>0.420508436567326</v>
      </c>
      <c r="E110">
        <f t="shared" si="24"/>
        <v>0.0178410572578832</v>
      </c>
      <c r="Q110">
        <f>6-Q108-Q109</f>
        <v>3</v>
      </c>
      <c r="R110">
        <f>SMALL(R107:T107,Q110)</f>
        <v>87.0313407977888</v>
      </c>
    </row>
    <row r="111" spans="2:5">
      <c r="B111">
        <v>51</v>
      </c>
      <c r="C111">
        <f t="shared" si="22"/>
        <v>0.51</v>
      </c>
      <c r="D111">
        <f t="shared" si="23"/>
        <v>0.466475114709403</v>
      </c>
      <c r="E111">
        <f t="shared" si="24"/>
        <v>0.0197913014512746</v>
      </c>
    </row>
    <row r="112" spans="2:17">
      <c r="B112">
        <v>52</v>
      </c>
      <c r="C112">
        <f t="shared" si="22"/>
        <v>0.52</v>
      </c>
      <c r="D112">
        <f t="shared" si="23"/>
        <v>0.516635056997989</v>
      </c>
      <c r="E112">
        <f t="shared" si="24"/>
        <v>0.0219194547167073</v>
      </c>
      <c r="Q112" t="s">
        <v>284</v>
      </c>
    </row>
    <row r="113" spans="2:19">
      <c r="B113">
        <v>53</v>
      </c>
      <c r="C113">
        <f t="shared" si="22"/>
        <v>0.53</v>
      </c>
      <c r="D113">
        <f t="shared" si="23"/>
        <v>0.571272354052182</v>
      </c>
      <c r="E113">
        <f t="shared" si="24"/>
        <v>0.0242375702653921</v>
      </c>
      <c r="N113">
        <f>IF(O113&gt;O114,1,2)</f>
        <v>1</v>
      </c>
      <c r="O113">
        <f>毕业时间预测!C3</f>
        <v>100</v>
      </c>
      <c r="P113">
        <f>毕业时间预测!D3</f>
        <v>513</v>
      </c>
      <c r="Q113">
        <f>IF((P113-O113)&gt;0,P113-O113,0)</f>
        <v>413</v>
      </c>
      <c r="R113">
        <f>SMALL(Q113:Q114,1)</f>
        <v>413</v>
      </c>
      <c r="S113">
        <v>0</v>
      </c>
    </row>
    <row r="114" spans="2:19">
      <c r="B114">
        <v>54</v>
      </c>
      <c r="C114">
        <f t="shared" si="22"/>
        <v>0.54</v>
      </c>
      <c r="D114">
        <f t="shared" si="23"/>
        <v>0.630679632150913</v>
      </c>
      <c r="E114">
        <f t="shared" si="24"/>
        <v>0.026758063453939</v>
      </c>
      <c r="N114">
        <f>3-N113</f>
        <v>2</v>
      </c>
      <c r="O114">
        <f>毕业时间预测!C4</f>
        <v>1</v>
      </c>
      <c r="P114">
        <f>毕业时间预测!D4</f>
        <v>513</v>
      </c>
      <c r="Q114">
        <f>IF((P114-O114)&gt;0,P114-O114,0)</f>
        <v>512</v>
      </c>
      <c r="R114">
        <f>SMALL(Q113:Q114,2)</f>
        <v>512</v>
      </c>
      <c r="S114">
        <f>R114-R113</f>
        <v>99</v>
      </c>
    </row>
    <row r="115" spans="2:19">
      <c r="B115">
        <v>55</v>
      </c>
      <c r="C115">
        <f t="shared" si="22"/>
        <v>0.55</v>
      </c>
      <c r="D115">
        <f t="shared" si="23"/>
        <v>0.695157159234235</v>
      </c>
      <c r="E115">
        <f t="shared" si="24"/>
        <v>0.0294936738543645</v>
      </c>
      <c r="R115" t="s">
        <v>290</v>
      </c>
      <c r="S115" t="s">
        <v>291</v>
      </c>
    </row>
    <row r="116" spans="2:19">
      <c r="B116">
        <v>56</v>
      </c>
      <c r="C116">
        <f t="shared" si="22"/>
        <v>0.56</v>
      </c>
      <c r="D116">
        <f t="shared" si="23"/>
        <v>0.765011815595633</v>
      </c>
      <c r="E116">
        <f t="shared" si="24"/>
        <v>0.0324574215832973</v>
      </c>
      <c r="R116">
        <f>N100/2</f>
        <v>1.2272822942777</v>
      </c>
      <c r="S116">
        <f>L100+M100/2</f>
        <v>2.39958773097326</v>
      </c>
    </row>
    <row r="117" spans="2:19">
      <c r="B117">
        <v>57</v>
      </c>
      <c r="C117">
        <f t="shared" si="22"/>
        <v>0.57</v>
      </c>
      <c r="D117">
        <f t="shared" si="23"/>
        <v>0.8405559272359</v>
      </c>
      <c r="E117">
        <f t="shared" si="24"/>
        <v>0.035662557804278</v>
      </c>
      <c r="R117" t="s">
        <v>293</v>
      </c>
      <c r="S117" t="s">
        <v>294</v>
      </c>
    </row>
    <row r="118" spans="2:19">
      <c r="B118">
        <v>58</v>
      </c>
      <c r="C118">
        <f t="shared" si="22"/>
        <v>0.58</v>
      </c>
      <c r="D118">
        <f t="shared" si="23"/>
        <v>0.922105961218644</v>
      </c>
      <c r="E118">
        <f t="shared" si="24"/>
        <v>0.0391225093751557</v>
      </c>
      <c r="R118">
        <f>R113/R116</f>
        <v>336.515895263579</v>
      </c>
      <c r="S118">
        <f>S114/S116</f>
        <v>41.2570870913089</v>
      </c>
    </row>
    <row r="119" spans="2:19">
      <c r="B119">
        <v>59</v>
      </c>
      <c r="C119">
        <f t="shared" si="22"/>
        <v>0.59</v>
      </c>
      <c r="D119">
        <f t="shared" si="23"/>
        <v>1.00998108386118</v>
      </c>
      <c r="E119">
        <f t="shared" si="24"/>
        <v>0.0428508176759523</v>
      </c>
      <c r="R119">
        <f>R118</f>
        <v>336.515895263579</v>
      </c>
      <c r="S119">
        <f>R118+S118</f>
        <v>377.772982354888</v>
      </c>
    </row>
    <row r="120" spans="2:19">
      <c r="B120">
        <v>60</v>
      </c>
      <c r="C120">
        <f t="shared" si="22"/>
        <v>0.6</v>
      </c>
      <c r="D120">
        <f t="shared" si="23"/>
        <v>1.10450158420022</v>
      </c>
      <c r="E120">
        <f t="shared" si="24"/>
        <v>0.0468610717206954</v>
      </c>
      <c r="Q120">
        <f>IF(Q114&gt;Q115,1,2)</f>
        <v>1</v>
      </c>
      <c r="R120">
        <f>SMALL(R119:S119,Q120)</f>
        <v>336.515895263579</v>
      </c>
      <c r="S120">
        <f>VLOOKUP(N113,Q120:R121,2,0)</f>
        <v>336.515895263579</v>
      </c>
    </row>
    <row r="121" spans="2:19">
      <c r="B121">
        <v>61</v>
      </c>
      <c r="C121">
        <f t="shared" si="22"/>
        <v>0.61</v>
      </c>
      <c r="D121">
        <f t="shared" si="23"/>
        <v>1.20598716687476</v>
      </c>
      <c r="E121">
        <f t="shared" si="24"/>
        <v>0.0511668357289669</v>
      </c>
      <c r="Q121">
        <f>3-Q120</f>
        <v>2</v>
      </c>
      <c r="R121">
        <f>SMALL(R119:S119,Q121)</f>
        <v>377.772982354888</v>
      </c>
      <c r="S121">
        <f>VLOOKUP(N114,Q120:R121,2,0)</f>
        <v>377.772982354888</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8">
    <mergeCell ref="F1:G1"/>
    <mergeCell ref="H1:I1"/>
    <mergeCell ref="J1:K1"/>
    <mergeCell ref="L1:M1"/>
    <mergeCell ref="N1:Q1"/>
    <mergeCell ref="R1:V1"/>
    <mergeCell ref="S93:T93"/>
    <mergeCell ref="S94:T9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2"/>
  <sheetViews>
    <sheetView topLeftCell="A10" workbookViewId="0">
      <selection activeCell="T66" sqref="T66"/>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5"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4.3333333333333"/>
    <col min="16" max="16" width="12.2222222222222" customWidth="1"/>
    <col min="17" max="17" width="13.5555555555556" customWidth="1"/>
    <col min="18" max="18" width="13.2222222222222"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 min="38" max="39" width="12.8888888888889"/>
    <col min="42" max="58" width="12.8888888888889"/>
    <col min="62" max="63" width="11.7777777777778"/>
    <col min="64" max="64" width="12.8888888888889"/>
    <col min="65" max="67" width="14.1111111111111"/>
    <col min="68" max="68" width="12.8888888888889"/>
  </cols>
  <sheetData>
    <row r="1" ht="16.35" spans="1:31">
      <c r="A1" s="32"/>
      <c r="B1" s="32"/>
      <c r="C1" s="32"/>
      <c r="D1" s="32"/>
      <c r="E1" s="32"/>
      <c r="F1" s="33"/>
      <c r="G1" s="34"/>
      <c r="H1" s="34"/>
      <c r="I1" s="77" t="s">
        <v>296</v>
      </c>
      <c r="J1" s="77" t="s">
        <v>297</v>
      </c>
      <c r="K1" s="77" t="s">
        <v>298</v>
      </c>
      <c r="L1" s="77" t="s">
        <v>299</v>
      </c>
      <c r="M1" s="77" t="s">
        <v>300</v>
      </c>
      <c r="N1" s="77" t="s">
        <v>301</v>
      </c>
      <c r="O1" s="77" t="s">
        <v>302</v>
      </c>
      <c r="P1" s="34" t="s">
        <v>303</v>
      </c>
      <c r="Q1" s="34" t="s">
        <v>304</v>
      </c>
      <c r="R1" s="34"/>
      <c r="S1" s="34"/>
      <c r="T1" s="34" t="s">
        <v>305</v>
      </c>
      <c r="U1" s="34" t="s">
        <v>306</v>
      </c>
      <c r="V1" s="34"/>
      <c r="W1" s="102" t="s">
        <v>307</v>
      </c>
      <c r="X1" s="105" t="s">
        <v>308</v>
      </c>
      <c r="Y1" s="106" t="s">
        <v>309</v>
      </c>
      <c r="Z1" s="106" t="s">
        <v>310</v>
      </c>
      <c r="AA1" s="107" t="s">
        <v>311</v>
      </c>
      <c r="AB1" s="32"/>
      <c r="AC1" s="32"/>
      <c r="AD1" s="32"/>
      <c r="AE1" s="32"/>
    </row>
    <row r="2" ht="15.6" spans="1:31">
      <c r="A2" s="33">
        <f>数据表!H3</f>
        <v>13</v>
      </c>
      <c r="B2" s="35" t="s">
        <v>205</v>
      </c>
      <c r="C2" s="36">
        <v>1</v>
      </c>
      <c r="D2" s="37">
        <v>3995</v>
      </c>
      <c r="E2" s="38">
        <f t="shared" ref="E2:E9" si="0">D2</f>
        <v>3995</v>
      </c>
      <c r="F2" s="39">
        <v>1</v>
      </c>
      <c r="G2" s="40" t="str">
        <f>VLOOKUP(1,数据表!A1:B26,2,0)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SUMIF(F2:F27,"&lt;="&amp;'倾向-优先级表'!H14,O2:O27)</f>
        <v>0.892178876560295</v>
      </c>
      <c r="Q2" s="40">
        <f>VLOOKUP(1,A2:C27,3,0)+'倾向-优先级表'!D12/60</f>
        <v>0.75</v>
      </c>
      <c r="R2" s="40">
        <f>Q2*O2</f>
        <v>0.0323072499961754</v>
      </c>
      <c r="S2" s="40">
        <f>R29</f>
        <v>6.96014307505893</v>
      </c>
      <c r="T2" s="40">
        <f>'倾向-优先级表'!H14</f>
        <v>12</v>
      </c>
      <c r="U2" s="40">
        <f>V28</f>
        <v>0.202450398410837</v>
      </c>
      <c r="V2" s="40">
        <f>IF(F2&lt;=T2,O2,0)</f>
        <v>0.0430763333282339</v>
      </c>
      <c r="W2" s="103">
        <f>V2/P2*(1-U2)+U2*O2</f>
        <v>0.0472282473105929</v>
      </c>
      <c r="X2" s="54">
        <f>VLOOKUP(G2,G33:L58,6,0)</f>
        <v>1125</v>
      </c>
      <c r="Y2" s="32">
        <f>VLOOKUP(G2,G33:L58,4,0)</f>
        <v>21008.2909090909</v>
      </c>
      <c r="Z2" s="32">
        <f>X2*O2</f>
        <v>48.4608749942631</v>
      </c>
      <c r="AA2" s="55">
        <f>Y2*O2</f>
        <v>904.960141856506</v>
      </c>
      <c r="AB2" s="32"/>
      <c r="AC2" s="32"/>
      <c r="AD2" s="32"/>
      <c r="AE2" s="32"/>
    </row>
    <row r="3" ht="15.6" spans="1:31">
      <c r="A3" s="41">
        <f>数据表!H4</f>
        <v>20</v>
      </c>
      <c r="B3" s="42" t="s">
        <v>211</v>
      </c>
      <c r="C3" s="43">
        <v>2</v>
      </c>
      <c r="D3" s="44">
        <v>2649</v>
      </c>
      <c r="E3" s="45">
        <f t="shared" si="0"/>
        <v>2649</v>
      </c>
      <c r="F3" s="39">
        <v>2</v>
      </c>
      <c r="G3" s="40" t="str">
        <f>VLOOKUP(2,数据表!A1:B26,2,0)</f>
        <v>彩船定向0.5h</v>
      </c>
      <c r="H3" s="40">
        <f>VLOOKUP(G3,B2:E27,4,0)</f>
        <v>51.6</v>
      </c>
      <c r="I3" s="78">
        <f>I2-H2</f>
        <v>36228.67</v>
      </c>
      <c r="J3" s="78">
        <f t="shared" si="1"/>
        <v>0.00142428634559314</v>
      </c>
      <c r="K3" s="78">
        <f t="shared" si="2"/>
        <v>0.000474762115197715</v>
      </c>
      <c r="L3" s="78">
        <f t="shared" si="3"/>
        <v>0.994787975462993</v>
      </c>
      <c r="M3" s="78">
        <f t="shared" si="4"/>
        <v>0.00521202453700731</v>
      </c>
      <c r="N3" s="78">
        <f t="shared" ref="N3:N27" si="5">L3*N2</f>
        <v>0.95193615704103</v>
      </c>
      <c r="O3" s="78">
        <f t="shared" ref="O3:O27" si="6">M3*N2</f>
        <v>0.00498750963073625</v>
      </c>
      <c r="P3" s="40">
        <f>P2</f>
        <v>0.892178876560295</v>
      </c>
      <c r="Q3" s="40">
        <f>VLOOKUP(2,A2:C27,3,0)+'倾向-优先级表'!D12/60</f>
        <v>0.75</v>
      </c>
      <c r="R3" s="40">
        <f t="shared" ref="R3:R27" si="7">Q3*O3</f>
        <v>0.00374063222305219</v>
      </c>
      <c r="S3" s="40">
        <f>S2</f>
        <v>6.96014307505893</v>
      </c>
      <c r="T3" s="40">
        <f>T2</f>
        <v>12</v>
      </c>
      <c r="U3" s="40">
        <f>U2</f>
        <v>0.202450398410837</v>
      </c>
      <c r="V3" s="40">
        <f t="shared" ref="V3:V27" si="8">IF(F3&lt;=T3,O3,0)</f>
        <v>0.00498750963073625</v>
      </c>
      <c r="W3" s="103">
        <f t="shared" ref="W3:W27" si="9">V3/P3*(1-U3)+U3*O3</f>
        <v>0.00546823093111284</v>
      </c>
      <c r="X3" s="54">
        <f>VLOOKUP(G3,G33:L58,6,0)</f>
        <v>5125</v>
      </c>
      <c r="Y3" s="32">
        <f>VLOOKUP(G3,G33:L58,4,0)</f>
        <v>14011.9636363636</v>
      </c>
      <c r="Z3" s="32">
        <f t="shared" ref="Z3:Z27" si="10">X3*O3</f>
        <v>25.5609868575233</v>
      </c>
      <c r="AA3" s="55">
        <f t="shared" ref="AA3:AA27" si="11">Y3*O3</f>
        <v>69.8848035818897</v>
      </c>
      <c r="AB3" s="32"/>
      <c r="AC3" s="32"/>
      <c r="AD3" s="32"/>
      <c r="AE3" s="32"/>
    </row>
    <row r="4" ht="15.6" spans="1:31">
      <c r="A4" s="41">
        <f>数据表!H5</f>
        <v>25</v>
      </c>
      <c r="B4" s="42" t="s">
        <v>222</v>
      </c>
      <c r="C4" s="43">
        <v>4</v>
      </c>
      <c r="D4" s="44">
        <v>591</v>
      </c>
      <c r="E4" s="45">
        <f t="shared" si="0"/>
        <v>591</v>
      </c>
      <c r="F4" s="39">
        <v>3</v>
      </c>
      <c r="G4" s="40" t="str">
        <f>VLOOKUP(3,数据表!A1:B26,2,0)</f>
        <v>金船定向0.5h</v>
      </c>
      <c r="H4" s="40">
        <f>VLOOKUP(G4,B2:E27,4,0)</f>
        <v>77.4</v>
      </c>
      <c r="I4" s="78">
        <f t="shared" ref="I3:I27" si="12">I3-H3</f>
        <v>36177.07</v>
      </c>
      <c r="J4" s="78">
        <f t="shared" si="1"/>
        <v>0.00213947674590562</v>
      </c>
      <c r="K4" s="78">
        <f t="shared" si="2"/>
        <v>0.000713158915301875</v>
      </c>
      <c r="L4" s="78">
        <f t="shared" si="3"/>
        <v>0.99217861470814</v>
      </c>
      <c r="M4" s="78">
        <f t="shared" si="4"/>
        <v>0.00782138529185983</v>
      </c>
      <c r="N4" s="78">
        <f t="shared" si="5"/>
        <v>0.94449069758356</v>
      </c>
      <c r="O4" s="78">
        <f t="shared" si="6"/>
        <v>0.00744545945747028</v>
      </c>
      <c r="P4" s="40">
        <f t="shared" ref="P4:P27" si="13">P3</f>
        <v>0.892178876560295</v>
      </c>
      <c r="Q4" s="40">
        <f>VLOOKUP(3,A2:C27,3,0)+'倾向-优先级表'!D12/60</f>
        <v>0.75</v>
      </c>
      <c r="R4" s="40">
        <f t="shared" si="7"/>
        <v>0.00558409459310271</v>
      </c>
      <c r="S4" s="40">
        <f t="shared" ref="S4:S27" si="14">S3</f>
        <v>6.96014307505893</v>
      </c>
      <c r="T4" s="40">
        <f t="shared" ref="T4:T27" si="15">T3</f>
        <v>12</v>
      </c>
      <c r="U4" s="40">
        <f t="shared" ref="U4:U27" si="16">U3</f>
        <v>0.202450398410837</v>
      </c>
      <c r="V4" s="40">
        <f t="shared" si="8"/>
        <v>0.00744545945747028</v>
      </c>
      <c r="W4" s="103">
        <f t="shared" si="9"/>
        <v>0.00816309034288031</v>
      </c>
      <c r="X4" s="54">
        <f>VLOOKUP(G4,G33:L58,6,0)</f>
        <v>5125</v>
      </c>
      <c r="Y4" s="32">
        <f>VLOOKUP(G4,G33:L58,4,0)</f>
        <v>12103.5818181818</v>
      </c>
      <c r="Z4" s="32">
        <f t="shared" si="10"/>
        <v>38.1579797195352</v>
      </c>
      <c r="AA4" s="55">
        <f t="shared" si="11"/>
        <v>90.1167277174471</v>
      </c>
      <c r="AB4" s="32"/>
      <c r="AC4" s="32"/>
      <c r="AD4" s="32"/>
      <c r="AE4" s="32"/>
    </row>
    <row r="5" ht="15.6" spans="1:31">
      <c r="A5" s="41">
        <f>数据表!H6</f>
        <v>5</v>
      </c>
      <c r="B5" s="42" t="s">
        <v>224</v>
      </c>
      <c r="C5" s="43">
        <v>0.5</v>
      </c>
      <c r="D5" s="44">
        <v>44</v>
      </c>
      <c r="E5" s="45">
        <f t="shared" si="0"/>
        <v>44</v>
      </c>
      <c r="F5" s="39">
        <v>4</v>
      </c>
      <c r="G5" s="40" t="str">
        <f>VLOOKUP(4,数据表!A1:B26,2,0)</f>
        <v>舰装解析4h</v>
      </c>
      <c r="H5" s="40">
        <f>VLOOKUP(G5,B2:E27,4,0)</f>
        <v>861</v>
      </c>
      <c r="I5" s="78">
        <f t="shared" si="12"/>
        <v>36099.67</v>
      </c>
      <c r="J5" s="78">
        <f t="shared" si="1"/>
        <v>0.0238506335376473</v>
      </c>
      <c r="K5" s="78">
        <f t="shared" si="2"/>
        <v>0.00795021117921577</v>
      </c>
      <c r="L5" s="78">
        <f t="shared" si="3"/>
        <v>0.915410244230478</v>
      </c>
      <c r="M5" s="78">
        <f t="shared" si="4"/>
        <v>0.084589755769522</v>
      </c>
      <c r="N5" s="78">
        <f t="shared" si="5"/>
        <v>0.864596460148381</v>
      </c>
      <c r="O5" s="78">
        <f t="shared" si="6"/>
        <v>0.0798942374351787</v>
      </c>
      <c r="P5" s="40">
        <f t="shared" si="13"/>
        <v>0.892178876560295</v>
      </c>
      <c r="Q5" s="40">
        <f>VLOOKUP(4,A2:C27,3,0)+'倾向-优先级表'!D12/60</f>
        <v>4.25</v>
      </c>
      <c r="R5" s="40">
        <f t="shared" si="7"/>
        <v>0.33955050909951</v>
      </c>
      <c r="S5" s="40">
        <f t="shared" si="14"/>
        <v>6.96014307505893</v>
      </c>
      <c r="T5" s="40">
        <f t="shared" si="15"/>
        <v>12</v>
      </c>
      <c r="U5" s="40">
        <f t="shared" si="16"/>
        <v>0.202450398410837</v>
      </c>
      <c r="V5" s="40">
        <f t="shared" si="8"/>
        <v>0.0798942374351787</v>
      </c>
      <c r="W5" s="103">
        <f t="shared" si="9"/>
        <v>0.0875948464677403</v>
      </c>
      <c r="X5" s="54">
        <f>VLOOKUP(G5,G33:L58,6,0)</f>
        <v>6375</v>
      </c>
      <c r="Y5" s="32">
        <f>VLOOKUP(G5,G33:L58,4,0)</f>
        <v>10504.1454545455</v>
      </c>
      <c r="Z5" s="32">
        <f t="shared" si="10"/>
        <v>509.325763649265</v>
      </c>
      <c r="AA5" s="55">
        <f t="shared" si="11"/>
        <v>839.220690999108</v>
      </c>
      <c r="AB5" s="32"/>
      <c r="AC5" s="32"/>
      <c r="AD5" s="32"/>
      <c r="AE5" s="32"/>
    </row>
    <row r="6" ht="15.6" spans="1:31">
      <c r="A6" s="41">
        <f>数据表!H7</f>
        <v>7</v>
      </c>
      <c r="B6" s="42" t="s">
        <v>225</v>
      </c>
      <c r="C6" s="43">
        <v>1</v>
      </c>
      <c r="D6" s="44">
        <v>3173</v>
      </c>
      <c r="E6" s="45">
        <f t="shared" si="0"/>
        <v>3173</v>
      </c>
      <c r="F6" s="39">
        <v>5</v>
      </c>
      <c r="G6" s="40" t="str">
        <f>VLOOKUP(5,数据表!A1:B26,2,0)</f>
        <v>心智补全0.5h</v>
      </c>
      <c r="H6" s="40">
        <f>VLOOKUP(G6,B2:E27,4,0)</f>
        <v>44</v>
      </c>
      <c r="I6" s="78">
        <f t="shared" si="12"/>
        <v>35238.67</v>
      </c>
      <c r="J6" s="78">
        <f t="shared" si="1"/>
        <v>0.00124862828250896</v>
      </c>
      <c r="K6" s="78">
        <f t="shared" si="2"/>
        <v>0.000416209427502987</v>
      </c>
      <c r="L6" s="78">
        <f t="shared" si="3"/>
        <v>0.995429658404117</v>
      </c>
      <c r="M6" s="78">
        <f t="shared" si="4"/>
        <v>0.00457034159588254</v>
      </c>
      <c r="N6" s="78">
        <f t="shared" si="5"/>
        <v>0.860644958982912</v>
      </c>
      <c r="O6" s="78">
        <f t="shared" si="6"/>
        <v>0.00395150116546895</v>
      </c>
      <c r="P6" s="40">
        <f t="shared" si="13"/>
        <v>0.892178876560295</v>
      </c>
      <c r="Q6" s="40">
        <f>VLOOKUP(5,A2:C27,3,0)+'倾向-优先级表'!D12/60</f>
        <v>0.75</v>
      </c>
      <c r="R6" s="40">
        <f t="shared" si="7"/>
        <v>0.00296362587410171</v>
      </c>
      <c r="S6" s="40">
        <f t="shared" si="14"/>
        <v>6.96014307505893</v>
      </c>
      <c r="T6" s="40">
        <f t="shared" si="15"/>
        <v>12</v>
      </c>
      <c r="U6" s="40">
        <f t="shared" si="16"/>
        <v>0.202450398410837</v>
      </c>
      <c r="V6" s="40">
        <f t="shared" si="8"/>
        <v>0.00395150116546895</v>
      </c>
      <c r="W6" s="103">
        <f t="shared" si="9"/>
        <v>0.00433236675157177</v>
      </c>
      <c r="X6" s="54">
        <f>VLOOKUP(G6,G33:L58,6,0)</f>
        <v>3525</v>
      </c>
      <c r="Y6" s="32">
        <f>VLOOKUP(G6,G33:L58,4,0)</f>
        <v>5582.28545454545</v>
      </c>
      <c r="Z6" s="32">
        <f t="shared" si="10"/>
        <v>13.929041608278</v>
      </c>
      <c r="AA6" s="55">
        <f t="shared" si="11"/>
        <v>22.0584074796167</v>
      </c>
      <c r="AB6" s="32"/>
      <c r="AC6" s="32"/>
      <c r="AD6" s="32"/>
      <c r="AE6" s="32"/>
    </row>
    <row r="7" ht="15.6" spans="1:31">
      <c r="A7" s="41">
        <f>数据表!H8</f>
        <v>6</v>
      </c>
      <c r="B7" s="42" t="s">
        <v>226</v>
      </c>
      <c r="C7" s="43">
        <v>2</v>
      </c>
      <c r="D7" s="44">
        <v>1588</v>
      </c>
      <c r="E7" s="45">
        <f t="shared" si="0"/>
        <v>1588</v>
      </c>
      <c r="F7" s="39">
        <v>6</v>
      </c>
      <c r="G7" s="40" t="str">
        <f>VLOOKUP(6,数据表!A1:B26,2,0)</f>
        <v>舰装解析2h</v>
      </c>
      <c r="H7" s="40">
        <f>VLOOKUP(G7,B2:E27,4,0)</f>
        <v>1588</v>
      </c>
      <c r="I7" s="78">
        <f t="shared" si="12"/>
        <v>35194.67</v>
      </c>
      <c r="J7" s="78">
        <f t="shared" si="1"/>
        <v>0.0451204685254898</v>
      </c>
      <c r="K7" s="78">
        <f t="shared" si="2"/>
        <v>0.0150401561751633</v>
      </c>
      <c r="L7" s="78">
        <f t="shared" si="3"/>
        <v>0.844661699679988</v>
      </c>
      <c r="M7" s="78">
        <f t="shared" si="4"/>
        <v>0.155338300320012</v>
      </c>
      <c r="N7" s="78">
        <f t="shared" si="5"/>
        <v>0.72695383387552</v>
      </c>
      <c r="O7" s="78">
        <f t="shared" si="6"/>
        <v>0.133691125107392</v>
      </c>
      <c r="P7" s="40">
        <f t="shared" si="13"/>
        <v>0.892178876560295</v>
      </c>
      <c r="Q7" s="40">
        <f>VLOOKUP(6,A2:C27,3,0)+'倾向-优先级表'!D12/60</f>
        <v>2.25</v>
      </c>
      <c r="R7" s="40">
        <f t="shared" si="7"/>
        <v>0.300805031491632</v>
      </c>
      <c r="S7" s="40">
        <f t="shared" si="14"/>
        <v>6.96014307505893</v>
      </c>
      <c r="T7" s="40">
        <f t="shared" si="15"/>
        <v>12</v>
      </c>
      <c r="U7" s="40">
        <f t="shared" si="16"/>
        <v>0.202450398410837</v>
      </c>
      <c r="V7" s="40">
        <f t="shared" si="8"/>
        <v>0.133691125107392</v>
      </c>
      <c r="W7" s="103">
        <f t="shared" si="9"/>
        <v>0.14657694914959</v>
      </c>
      <c r="X7" s="54">
        <f>VLOOKUP(G7,G33:L58,6,0)</f>
        <v>3375</v>
      </c>
      <c r="Y7" s="32">
        <f>VLOOKUP(G7,G33:L58,4,0)</f>
        <v>4840.14545454545</v>
      </c>
      <c r="Z7" s="32">
        <f t="shared" si="10"/>
        <v>451.207547237448</v>
      </c>
      <c r="AA7" s="55">
        <f t="shared" si="11"/>
        <v>647.084491501611</v>
      </c>
      <c r="AB7" s="32"/>
      <c r="AC7" s="32"/>
      <c r="AD7" s="32"/>
      <c r="AE7" s="32"/>
    </row>
    <row r="8" ht="15.6" spans="1:31">
      <c r="A8" s="41">
        <f>数据表!H9</f>
        <v>4</v>
      </c>
      <c r="B8" s="42" t="s">
        <v>228</v>
      </c>
      <c r="C8" s="43">
        <v>4</v>
      </c>
      <c r="D8" s="44">
        <v>861</v>
      </c>
      <c r="E8" s="45">
        <f t="shared" si="0"/>
        <v>861</v>
      </c>
      <c r="F8" s="39">
        <v>7</v>
      </c>
      <c r="G8" s="40" t="str">
        <f>VLOOKUP(7,数据表!A1:B26,2,0)</f>
        <v>舰装解析1h</v>
      </c>
      <c r="H8" s="40">
        <f>VLOOKUP(G8,B2:E27,4,0)</f>
        <v>3173</v>
      </c>
      <c r="I8" s="78">
        <f t="shared" si="12"/>
        <v>33606.67</v>
      </c>
      <c r="J8" s="78">
        <f t="shared" si="1"/>
        <v>0.0944157811529676</v>
      </c>
      <c r="K8" s="78">
        <f t="shared" si="2"/>
        <v>0.0314719270509892</v>
      </c>
      <c r="L8" s="78">
        <f t="shared" si="3"/>
        <v>0.696644100597106</v>
      </c>
      <c r="M8" s="78">
        <f t="shared" si="4"/>
        <v>0.303355899402894</v>
      </c>
      <c r="N8" s="78">
        <f t="shared" si="5"/>
        <v>0.506428099775829</v>
      </c>
      <c r="O8" s="78">
        <f t="shared" si="6"/>
        <v>0.22052573409969</v>
      </c>
      <c r="P8" s="40">
        <f t="shared" si="13"/>
        <v>0.892178876560295</v>
      </c>
      <c r="Q8" s="40">
        <f>VLOOKUP(7,A2:C27,3,0)+'倾向-优先级表'!D12/60</f>
        <v>1.25</v>
      </c>
      <c r="R8" s="40">
        <f t="shared" si="7"/>
        <v>0.275657167624613</v>
      </c>
      <c r="S8" s="40">
        <f t="shared" si="14"/>
        <v>6.96014307505893</v>
      </c>
      <c r="T8" s="40">
        <f t="shared" si="15"/>
        <v>12</v>
      </c>
      <c r="U8" s="40">
        <f t="shared" si="16"/>
        <v>0.202450398410837</v>
      </c>
      <c r="V8" s="40">
        <f t="shared" si="8"/>
        <v>0.22052573409969</v>
      </c>
      <c r="W8" s="103">
        <f t="shared" si="9"/>
        <v>0.241781115143888</v>
      </c>
      <c r="X8" s="54">
        <f>VLOOKUP(G8,G33:L58,6,0)</f>
        <v>1875</v>
      </c>
      <c r="Y8" s="32">
        <f>VLOOKUP(G8,G33:L58,4,0)</f>
        <v>2677.52727272727</v>
      </c>
      <c r="Z8" s="32">
        <f t="shared" si="10"/>
        <v>413.48575143692</v>
      </c>
      <c r="AA8" s="55">
        <f t="shared" si="11"/>
        <v>590.463667390124</v>
      </c>
      <c r="AB8" s="32"/>
      <c r="AC8" s="32"/>
      <c r="AD8" s="32"/>
      <c r="AE8" s="32"/>
    </row>
    <row r="9" ht="15.6" spans="1:31">
      <c r="A9" s="41">
        <f>数据表!H10</f>
        <v>1</v>
      </c>
      <c r="B9" s="42" t="s">
        <v>230</v>
      </c>
      <c r="C9" s="43">
        <v>0.5</v>
      </c>
      <c r="D9" s="44">
        <v>438</v>
      </c>
      <c r="E9" s="45">
        <f t="shared" si="0"/>
        <v>438</v>
      </c>
      <c r="F9" s="39">
        <v>8</v>
      </c>
      <c r="G9" s="40" t="str">
        <f>VLOOKUP(8,数据表!A1:B26,2,0)</f>
        <v>资金募集4h</v>
      </c>
      <c r="H9" s="40">
        <f>VLOOKUP(G9,B2:E27,4,0)</f>
        <v>1793</v>
      </c>
      <c r="I9" s="78">
        <f t="shared" si="12"/>
        <v>30433.67</v>
      </c>
      <c r="J9" s="78">
        <f t="shared" si="1"/>
        <v>0.0589150109073273</v>
      </c>
      <c r="K9" s="78">
        <f t="shared" si="2"/>
        <v>0.0196383369691091</v>
      </c>
      <c r="L9" s="78">
        <f t="shared" si="3"/>
        <v>0.801049176540079</v>
      </c>
      <c r="M9" s="78">
        <f t="shared" si="4"/>
        <v>0.198950823459921</v>
      </c>
      <c r="N9" s="78">
        <f t="shared" si="5"/>
        <v>0.405673812302185</v>
      </c>
      <c r="O9" s="78">
        <f t="shared" si="6"/>
        <v>0.100754287473645</v>
      </c>
      <c r="P9" s="40">
        <f t="shared" si="13"/>
        <v>0.892178876560295</v>
      </c>
      <c r="Q9" s="40">
        <f>VLOOKUP(8,A2:C27,3,0)+'倾向-优先级表'!D12/60</f>
        <v>4.25</v>
      </c>
      <c r="R9" s="40">
        <f t="shared" si="7"/>
        <v>0.428205721762989</v>
      </c>
      <c r="S9" s="40">
        <f t="shared" si="14"/>
        <v>6.96014307505893</v>
      </c>
      <c r="T9" s="40">
        <f t="shared" si="15"/>
        <v>12</v>
      </c>
      <c r="U9" s="40">
        <f t="shared" si="16"/>
        <v>0.202450398410837</v>
      </c>
      <c r="V9" s="40">
        <f t="shared" si="8"/>
        <v>0.100754287473645</v>
      </c>
      <c r="W9" s="103">
        <f t="shared" si="9"/>
        <v>0.110465493201321</v>
      </c>
      <c r="X9" s="54">
        <f>VLOOKUP(G9,G33:L58,6,0)</f>
        <v>6375</v>
      </c>
      <c r="Y9" s="32">
        <f>VLOOKUP(G9,G33:L58,4,0)</f>
        <v>7414.69090909091</v>
      </c>
      <c r="Z9" s="32">
        <f t="shared" si="10"/>
        <v>642.308582644484</v>
      </c>
      <c r="AA9" s="55">
        <f t="shared" si="11"/>
        <v>747.061899382764</v>
      </c>
      <c r="AB9" s="32"/>
      <c r="AC9" s="32"/>
      <c r="AD9" s="32"/>
      <c r="AE9" s="32"/>
    </row>
    <row r="10" ht="15.6" spans="1:31">
      <c r="A10" s="41">
        <f>数据表!H11</f>
        <v>11</v>
      </c>
      <c r="B10" s="42" t="s">
        <v>231</v>
      </c>
      <c r="C10" s="43">
        <v>2.5</v>
      </c>
      <c r="D10" s="44">
        <v>4817</v>
      </c>
      <c r="E10" s="45">
        <f>D28*D10</f>
        <v>2890.2</v>
      </c>
      <c r="F10" s="39">
        <v>9</v>
      </c>
      <c r="G10" s="40" t="str">
        <f>VLOOKUP(9,数据表!A1:B26,2,0)</f>
        <v>资金募集1.5h</v>
      </c>
      <c r="H10" s="40">
        <f>VLOOKUP(G10,B2:E27,4,0)</f>
        <v>3436</v>
      </c>
      <c r="I10" s="78">
        <f t="shared" si="12"/>
        <v>28640.67</v>
      </c>
      <c r="J10" s="78">
        <f t="shared" si="1"/>
        <v>0.119969260495652</v>
      </c>
      <c r="K10" s="78">
        <f t="shared" si="2"/>
        <v>0.0399897534985506</v>
      </c>
      <c r="L10" s="78">
        <f t="shared" si="3"/>
        <v>0.628123820924558</v>
      </c>
      <c r="M10" s="78">
        <f t="shared" si="4"/>
        <v>0.371876179075442</v>
      </c>
      <c r="N10" s="78">
        <f t="shared" si="5"/>
        <v>0.254813385032281</v>
      </c>
      <c r="O10" s="78">
        <f t="shared" si="6"/>
        <v>0.150860427269904</v>
      </c>
      <c r="P10" s="40">
        <f t="shared" si="13"/>
        <v>0.892178876560295</v>
      </c>
      <c r="Q10" s="40">
        <f>VLOOKUP(9,A2:C27,3,0)+'倾向-优先级表'!D12/60</f>
        <v>1.75</v>
      </c>
      <c r="R10" s="40">
        <f t="shared" si="7"/>
        <v>0.264005747722333</v>
      </c>
      <c r="S10" s="40">
        <f t="shared" si="14"/>
        <v>6.96014307505893</v>
      </c>
      <c r="T10" s="40">
        <f t="shared" si="15"/>
        <v>12</v>
      </c>
      <c r="U10" s="40">
        <f t="shared" si="16"/>
        <v>0.202450398410837</v>
      </c>
      <c r="V10" s="40">
        <f t="shared" si="8"/>
        <v>0.150860427269904</v>
      </c>
      <c r="W10" s="103">
        <f t="shared" si="9"/>
        <v>0.165401115136576</v>
      </c>
      <c r="X10" s="54">
        <f>VLOOKUP(G10,G33:L58,6,0)</f>
        <v>2625</v>
      </c>
      <c r="Y10" s="32">
        <f>VLOOKUP(G10,G33:L58,4,0)</f>
        <v>2085.38181818182</v>
      </c>
      <c r="Z10" s="32">
        <f t="shared" si="10"/>
        <v>396.008621583499</v>
      </c>
      <c r="AA10" s="55">
        <f t="shared" si="11"/>
        <v>314.601592111799</v>
      </c>
      <c r="AB10" s="32"/>
      <c r="AC10" s="32"/>
      <c r="AD10" s="32"/>
      <c r="AE10" s="32"/>
    </row>
    <row r="11" ht="15.6" spans="1:31">
      <c r="A11" s="41">
        <f>数据表!H12</f>
        <v>19</v>
      </c>
      <c r="B11" s="42" t="s">
        <v>232</v>
      </c>
      <c r="C11" s="43">
        <v>5</v>
      </c>
      <c r="D11" s="44">
        <v>3036</v>
      </c>
      <c r="E11" s="45">
        <f>D28*D11</f>
        <v>1821.6</v>
      </c>
      <c r="F11" s="39">
        <v>10</v>
      </c>
      <c r="G11" s="40" t="str">
        <f>VLOOKUP(10,数据表!A1:B26,2,0)</f>
        <v>彩船定向2.5h</v>
      </c>
      <c r="H11" s="40">
        <f>VLOOKUP(G11,B2:E27,4,0)</f>
        <v>1926.8</v>
      </c>
      <c r="I11" s="78">
        <f t="shared" si="12"/>
        <v>25204.67</v>
      </c>
      <c r="J11" s="78">
        <f t="shared" si="1"/>
        <v>0.0764461506538272</v>
      </c>
      <c r="K11" s="78">
        <f t="shared" si="2"/>
        <v>0.0254820502179424</v>
      </c>
      <c r="L11" s="78">
        <f t="shared" si="3"/>
        <v>0.7481115400726</v>
      </c>
      <c r="M11" s="78">
        <f t="shared" si="4"/>
        <v>0.2518884599274</v>
      </c>
      <c r="N11" s="78">
        <f t="shared" si="5"/>
        <v>0.190628833907612</v>
      </c>
      <c r="O11" s="78">
        <f t="shared" si="6"/>
        <v>0.0641845511246688</v>
      </c>
      <c r="P11" s="40">
        <f t="shared" si="13"/>
        <v>0.892178876560295</v>
      </c>
      <c r="Q11" s="40">
        <f>VLOOKUP(10,A2:C27,3,0)+'倾向-优先级表'!D12/60</f>
        <v>2.75</v>
      </c>
      <c r="R11" s="40">
        <f t="shared" si="7"/>
        <v>0.176507515592839</v>
      </c>
      <c r="S11" s="40">
        <f t="shared" si="14"/>
        <v>6.96014307505893</v>
      </c>
      <c r="T11" s="40">
        <f t="shared" si="15"/>
        <v>12</v>
      </c>
      <c r="U11" s="40">
        <f t="shared" si="16"/>
        <v>0.202450398410837</v>
      </c>
      <c r="V11" s="40">
        <f t="shared" si="8"/>
        <v>0.0641845511246688</v>
      </c>
      <c r="W11" s="103">
        <f t="shared" si="9"/>
        <v>0.0703709814606807</v>
      </c>
      <c r="X11" s="54">
        <f>VLOOKUP(G11,G33:L58,6,0)</f>
        <v>4125</v>
      </c>
      <c r="Y11" s="32">
        <f>VLOOKUP(G11,G33:L58,4,0)</f>
        <v>3765.27272727273</v>
      </c>
      <c r="Z11" s="32">
        <f t="shared" si="10"/>
        <v>264.761273389259</v>
      </c>
      <c r="AA11" s="55">
        <f t="shared" si="11"/>
        <v>241.672339861957</v>
      </c>
      <c r="AB11" s="32"/>
      <c r="AC11" s="32"/>
      <c r="AD11" s="32"/>
      <c r="AE11" s="32"/>
    </row>
    <row r="12" ht="15.6" spans="1:31">
      <c r="A12" s="41">
        <f>数据表!H13</f>
        <v>22</v>
      </c>
      <c r="B12" s="42" t="s">
        <v>233</v>
      </c>
      <c r="C12" s="43">
        <v>8</v>
      </c>
      <c r="D12" s="44">
        <v>716</v>
      </c>
      <c r="E12" s="45">
        <f>D28*D12</f>
        <v>429.6</v>
      </c>
      <c r="F12" s="39">
        <v>11</v>
      </c>
      <c r="G12" s="40" t="str">
        <f>VLOOKUP(11,数据表!A1:B26,2,0)</f>
        <v>金船定向2.5h</v>
      </c>
      <c r="H12" s="40">
        <f>VLOOKUP(G12,B2:E27,4,0)</f>
        <v>2890.2</v>
      </c>
      <c r="I12" s="78">
        <f t="shared" si="12"/>
        <v>23277.87</v>
      </c>
      <c r="J12" s="78">
        <f t="shared" si="1"/>
        <v>0.12416084461336</v>
      </c>
      <c r="K12" s="78">
        <f t="shared" si="2"/>
        <v>0.0413869482044534</v>
      </c>
      <c r="L12" s="78">
        <f t="shared" si="3"/>
        <v>0.617390220916615</v>
      </c>
      <c r="M12" s="78">
        <f t="shared" si="4"/>
        <v>0.382609779083385</v>
      </c>
      <c r="N12" s="78">
        <f t="shared" si="5"/>
        <v>0.117692377879297</v>
      </c>
      <c r="O12" s="78">
        <f t="shared" si="6"/>
        <v>0.0729364560283146</v>
      </c>
      <c r="P12" s="40">
        <f t="shared" si="13"/>
        <v>0.892178876560295</v>
      </c>
      <c r="Q12" s="40">
        <f>VLOOKUP(11,A2:C27,3,0)+'倾向-优先级表'!D12/60</f>
        <v>2.75</v>
      </c>
      <c r="R12" s="40">
        <f t="shared" si="7"/>
        <v>0.200575254077865</v>
      </c>
      <c r="S12" s="40">
        <f t="shared" si="14"/>
        <v>6.96014307505893</v>
      </c>
      <c r="T12" s="40">
        <f t="shared" si="15"/>
        <v>12</v>
      </c>
      <c r="U12" s="40">
        <f t="shared" si="16"/>
        <v>0.202450398410837</v>
      </c>
      <c r="V12" s="40">
        <f t="shared" si="8"/>
        <v>0.0729364560283146</v>
      </c>
      <c r="W12" s="103">
        <f t="shared" si="9"/>
        <v>0.0799664390424257</v>
      </c>
      <c r="X12" s="54">
        <f>VLOOKUP(G12,G33:L58,6,0)</f>
        <v>4125</v>
      </c>
      <c r="Y12" s="32">
        <f>VLOOKUP(G12,G33:L58,4,0)</f>
        <v>3282.54545454545</v>
      </c>
      <c r="Z12" s="32">
        <f t="shared" si="10"/>
        <v>300.862881116798</v>
      </c>
      <c r="AA12" s="55">
        <f t="shared" si="11"/>
        <v>239.417232206398</v>
      </c>
      <c r="AB12" s="32"/>
      <c r="AC12" s="32"/>
      <c r="AD12" s="32"/>
      <c r="AE12" s="32"/>
    </row>
    <row r="13" ht="15.6" spans="1:31">
      <c r="A13" s="41">
        <f>数据表!H14</f>
        <v>3</v>
      </c>
      <c r="B13" s="42" t="s">
        <v>235</v>
      </c>
      <c r="C13" s="43">
        <v>0.5</v>
      </c>
      <c r="D13" s="44">
        <v>129</v>
      </c>
      <c r="E13" s="45">
        <f>D28*D13</f>
        <v>77.4</v>
      </c>
      <c r="F13" s="39">
        <v>12</v>
      </c>
      <c r="G13" s="40" t="str">
        <f>VLOOKUP(12,数据表!A1:B26,2,0)</f>
        <v>试验品募集2h紫</v>
      </c>
      <c r="H13" s="40">
        <f>VLOOKUP(G13,B2:E27,4,0)</f>
        <v>482</v>
      </c>
      <c r="I13" s="78">
        <f t="shared" si="12"/>
        <v>20387.67</v>
      </c>
      <c r="J13" s="78">
        <f t="shared" si="1"/>
        <v>0.0236417403263835</v>
      </c>
      <c r="K13" s="78">
        <f t="shared" si="2"/>
        <v>0.00788058010879451</v>
      </c>
      <c r="L13" s="78">
        <f t="shared" si="3"/>
        <v>0.916126646283618</v>
      </c>
      <c r="M13" s="78">
        <f t="shared" si="4"/>
        <v>0.0838733537163819</v>
      </c>
      <c r="N13" s="78">
        <f t="shared" si="5"/>
        <v>0.107821123439705</v>
      </c>
      <c r="O13" s="78">
        <f t="shared" si="6"/>
        <v>0.00987125443959238</v>
      </c>
      <c r="P13" s="40">
        <f t="shared" si="13"/>
        <v>0.892178876560295</v>
      </c>
      <c r="Q13" s="40">
        <f>VLOOKUP(12,A2:C27,3,0)+'倾向-优先级表'!D12/60</f>
        <v>2.25</v>
      </c>
      <c r="R13" s="40">
        <f t="shared" si="7"/>
        <v>0.0222103224890828</v>
      </c>
      <c r="S13" s="40">
        <f t="shared" si="14"/>
        <v>6.96014307505893</v>
      </c>
      <c r="T13" s="40">
        <f t="shared" si="15"/>
        <v>12</v>
      </c>
      <c r="U13" s="40">
        <f t="shared" si="16"/>
        <v>0.202450398410837</v>
      </c>
      <c r="V13" s="40">
        <f t="shared" si="8"/>
        <v>0.00987125443959238</v>
      </c>
      <c r="W13" s="103">
        <f t="shared" si="9"/>
        <v>0.0108226956641477</v>
      </c>
      <c r="X13" s="54">
        <f>VLOOKUP(G13,G33:L58,6,0)</f>
        <v>3375</v>
      </c>
      <c r="Y13" s="32">
        <f>VLOOKUP(G13,G33:L58,4,0)</f>
        <v>2162.61818181818</v>
      </c>
      <c r="Z13" s="32">
        <f t="shared" si="10"/>
        <v>33.3154837336243</v>
      </c>
      <c r="AA13" s="55">
        <f t="shared" si="11"/>
        <v>21.3477543284159</v>
      </c>
      <c r="AB13" s="32"/>
      <c r="AC13" s="32"/>
      <c r="AD13" s="32"/>
      <c r="AE13" s="32"/>
    </row>
    <row r="14" ht="15.6" spans="1:31">
      <c r="A14" s="41">
        <f>数据表!H15</f>
        <v>10</v>
      </c>
      <c r="B14" s="42" t="s">
        <v>236</v>
      </c>
      <c r="C14" s="43">
        <v>2.5</v>
      </c>
      <c r="D14" s="44"/>
      <c r="E14" s="45">
        <f>D29*D10</f>
        <v>1926.8</v>
      </c>
      <c r="F14" s="39">
        <v>13</v>
      </c>
      <c r="G14" s="40" t="str">
        <f>VLOOKUP(13,数据表!A1:B26,2,0)</f>
        <v>魔方解析1h</v>
      </c>
      <c r="H14" s="40">
        <f>VLOOKUP(G14,B2:E27,4,0)</f>
        <v>3995</v>
      </c>
      <c r="I14" s="78">
        <f t="shared" si="12"/>
        <v>19905.67</v>
      </c>
      <c r="J14" s="78">
        <f t="shared" si="1"/>
        <v>0.200696585445253</v>
      </c>
      <c r="K14" s="78">
        <f t="shared" si="2"/>
        <v>0.0668988618150842</v>
      </c>
      <c r="L14" s="78">
        <f t="shared" si="3"/>
        <v>0.444623530748691</v>
      </c>
      <c r="M14" s="78">
        <f t="shared" si="4"/>
        <v>0.555376469251309</v>
      </c>
      <c r="N14" s="78">
        <f t="shared" si="5"/>
        <v>0.047939808593052</v>
      </c>
      <c r="O14" s="78">
        <f t="shared" si="6"/>
        <v>0.0598813148466528</v>
      </c>
      <c r="P14" s="40">
        <f t="shared" si="13"/>
        <v>0.892178876560295</v>
      </c>
      <c r="Q14" s="40">
        <f>VLOOKUP(13,A2:C27,3,0)+'倾向-优先级表'!D12/60</f>
        <v>1.25</v>
      </c>
      <c r="R14" s="40">
        <f t="shared" si="7"/>
        <v>0.074851643558316</v>
      </c>
      <c r="S14" s="40">
        <f t="shared" si="14"/>
        <v>6.96014307505893</v>
      </c>
      <c r="T14" s="40">
        <f t="shared" si="15"/>
        <v>12</v>
      </c>
      <c r="U14" s="40">
        <f t="shared" si="16"/>
        <v>0.202450398410837</v>
      </c>
      <c r="V14" s="40">
        <f t="shared" si="8"/>
        <v>0</v>
      </c>
      <c r="W14" s="103">
        <f t="shared" si="9"/>
        <v>0.0121229960480696</v>
      </c>
      <c r="X14" s="54">
        <f>VLOOKUP(G14,G33:L58,6,0)</f>
        <v>4275</v>
      </c>
      <c r="Y14" s="32">
        <f>VLOOKUP(G14,G33:L58,4,0)</f>
        <v>3196.14545454545</v>
      </c>
      <c r="Z14" s="32">
        <f t="shared" si="10"/>
        <v>255.992620969441</v>
      </c>
      <c r="AA14" s="55">
        <f t="shared" si="11"/>
        <v>191.389392259335</v>
      </c>
      <c r="AB14" s="32"/>
      <c r="AC14" s="32"/>
      <c r="AD14" s="32"/>
      <c r="AE14" s="32"/>
    </row>
    <row r="15" ht="15.6" spans="1:31">
      <c r="A15" s="41">
        <f>数据表!H16</f>
        <v>18</v>
      </c>
      <c r="B15" s="42" t="s">
        <v>237</v>
      </c>
      <c r="C15" s="43">
        <v>5</v>
      </c>
      <c r="D15" s="44"/>
      <c r="E15" s="45">
        <f>D29*D11</f>
        <v>1214.4</v>
      </c>
      <c r="F15" s="39">
        <v>14</v>
      </c>
      <c r="G15" s="40" t="str">
        <f>VLOOKUP(14,数据表!A1:B26,2,0)</f>
        <v>金数据收集4h</v>
      </c>
      <c r="H15" s="40">
        <f>VLOOKUP(G15,B2:E27,4,0)</f>
        <v>361</v>
      </c>
      <c r="I15" s="78">
        <f t="shared" si="12"/>
        <v>15910.67</v>
      </c>
      <c r="J15" s="78">
        <f t="shared" si="1"/>
        <v>0.0226891765085946</v>
      </c>
      <c r="K15" s="78">
        <f t="shared" si="2"/>
        <v>0.00756305883619818</v>
      </c>
      <c r="L15" s="78">
        <f t="shared" si="3"/>
        <v>0.919398876132702</v>
      </c>
      <c r="M15" s="78">
        <f t="shared" si="4"/>
        <v>0.0806011238672977</v>
      </c>
      <c r="N15" s="78">
        <f t="shared" si="5"/>
        <v>0.0440758061424689</v>
      </c>
      <c r="O15" s="78">
        <f t="shared" si="6"/>
        <v>0.00386400245058313</v>
      </c>
      <c r="P15" s="40">
        <f t="shared" si="13"/>
        <v>0.892178876560295</v>
      </c>
      <c r="Q15" s="40">
        <f>VLOOKUP(14,A2:C27,3,0)+'倾向-优先级表'!D12/60</f>
        <v>4.25</v>
      </c>
      <c r="R15" s="40">
        <f t="shared" si="7"/>
        <v>0.0164220104149783</v>
      </c>
      <c r="S15" s="40">
        <f t="shared" si="14"/>
        <v>6.96014307505893</v>
      </c>
      <c r="T15" s="40">
        <f t="shared" si="15"/>
        <v>12</v>
      </c>
      <c r="U15" s="40">
        <f t="shared" si="16"/>
        <v>0.202450398410837</v>
      </c>
      <c r="V15" s="40">
        <f t="shared" si="8"/>
        <v>0</v>
      </c>
      <c r="W15" s="103">
        <f t="shared" si="9"/>
        <v>0.000782268835581004</v>
      </c>
      <c r="X15" s="54">
        <f>VLOOKUP(G15,G33:L58,6,0)</f>
        <v>6375</v>
      </c>
      <c r="Y15" s="32">
        <f>VLOOKUP(G15,G33:L58,4,0)</f>
        <v>6050.18181818182</v>
      </c>
      <c r="Z15" s="32">
        <f t="shared" si="10"/>
        <v>24.6330156224674</v>
      </c>
      <c r="AA15" s="55">
        <f t="shared" si="11"/>
        <v>23.377917371928</v>
      </c>
      <c r="AB15" s="32"/>
      <c r="AC15" s="32"/>
      <c r="AD15" s="32"/>
      <c r="AE15" s="32"/>
    </row>
    <row r="16" ht="15.6" spans="1:31">
      <c r="A16" s="41">
        <f>数据表!H17</f>
        <v>21</v>
      </c>
      <c r="B16" s="42" t="s">
        <v>238</v>
      </c>
      <c r="C16" s="43">
        <v>8</v>
      </c>
      <c r="D16" s="44"/>
      <c r="E16" s="45">
        <f>D29*D12</f>
        <v>286.4</v>
      </c>
      <c r="F16" s="39">
        <v>15</v>
      </c>
      <c r="G16" s="40" t="str">
        <f>VLOOKUP(15,数据表!A1:B26,2,0)</f>
        <v>试验品募集2h蓝</v>
      </c>
      <c r="H16" s="40">
        <f>VLOOKUP(G16,B2:E27,4,0)</f>
        <v>709</v>
      </c>
      <c r="I16" s="78">
        <f t="shared" si="12"/>
        <v>15549.67</v>
      </c>
      <c r="J16" s="78">
        <f t="shared" si="1"/>
        <v>0.0455958229338629</v>
      </c>
      <c r="K16" s="78">
        <f t="shared" si="2"/>
        <v>0.015198607644621</v>
      </c>
      <c r="L16" s="78">
        <f t="shared" si="3"/>
        <v>0.843129533313934</v>
      </c>
      <c r="M16" s="78">
        <f t="shared" si="4"/>
        <v>0.156870466686066</v>
      </c>
      <c r="N16" s="78">
        <f t="shared" si="5"/>
        <v>0.0371616138633352</v>
      </c>
      <c r="O16" s="78">
        <f t="shared" si="6"/>
        <v>0.00691419227913368</v>
      </c>
      <c r="P16" s="40">
        <f t="shared" si="13"/>
        <v>0.892178876560295</v>
      </c>
      <c r="Q16" s="40">
        <f>VLOOKUP(15,A2:C27,3,0)+'倾向-优先级表'!D12/60</f>
        <v>2.25</v>
      </c>
      <c r="R16" s="40">
        <f t="shared" si="7"/>
        <v>0.0155569326280508</v>
      </c>
      <c r="S16" s="40">
        <f t="shared" si="14"/>
        <v>6.96014307505893</v>
      </c>
      <c r="T16" s="40">
        <f t="shared" si="15"/>
        <v>12</v>
      </c>
      <c r="U16" s="40">
        <f t="shared" si="16"/>
        <v>0.202450398410837</v>
      </c>
      <c r="V16" s="40">
        <f t="shared" si="8"/>
        <v>0</v>
      </c>
      <c r="W16" s="103">
        <f t="shared" si="9"/>
        <v>0.00139978098159975</v>
      </c>
      <c r="X16" s="54">
        <f>VLOOKUP(G16,G33:L58,6,0)</f>
        <v>3375</v>
      </c>
      <c r="Y16" s="32">
        <f>VLOOKUP(G16,G33:L58,4,0)</f>
        <v>1853.67272727273</v>
      </c>
      <c r="Z16" s="32">
        <f t="shared" si="10"/>
        <v>23.3353989420762</v>
      </c>
      <c r="AA16" s="55">
        <f t="shared" si="11"/>
        <v>12.8166496589498</v>
      </c>
      <c r="AB16" s="32"/>
      <c r="AC16" s="32"/>
      <c r="AD16" s="32"/>
      <c r="AE16" s="32"/>
    </row>
    <row r="17" ht="15.6" spans="1:31">
      <c r="A17" s="41">
        <f>数据表!H18</f>
        <v>2</v>
      </c>
      <c r="B17" s="42" t="s">
        <v>240</v>
      </c>
      <c r="C17" s="43">
        <v>0.5</v>
      </c>
      <c r="D17" s="44"/>
      <c r="E17" s="45">
        <f>D29*D13</f>
        <v>51.6</v>
      </c>
      <c r="F17" s="39">
        <v>16</v>
      </c>
      <c r="G17" s="40" t="str">
        <f>VLOOKUP(16,数据表!A1:B26,2,0)</f>
        <v>资金募集2.5h</v>
      </c>
      <c r="H17" s="40">
        <f>VLOOKUP(G17,B2:E27,4,0)</f>
        <v>2346</v>
      </c>
      <c r="I17" s="78">
        <f t="shared" si="12"/>
        <v>14840.67</v>
      </c>
      <c r="J17" s="78">
        <f t="shared" si="1"/>
        <v>0.158079116374126</v>
      </c>
      <c r="K17" s="78">
        <f t="shared" si="2"/>
        <v>0.0526930387913753</v>
      </c>
      <c r="L17" s="78">
        <f t="shared" si="3"/>
        <v>0.535544180038458</v>
      </c>
      <c r="M17" s="78">
        <f t="shared" si="4"/>
        <v>0.464455819961542</v>
      </c>
      <c r="N17" s="78">
        <f t="shared" si="5"/>
        <v>0.0199016860253457</v>
      </c>
      <c r="O17" s="78">
        <f t="shared" si="6"/>
        <v>0.0172599278379895</v>
      </c>
      <c r="P17" s="40">
        <f t="shared" si="13"/>
        <v>0.892178876560295</v>
      </c>
      <c r="Q17" s="40">
        <f>VLOOKUP(16,A2:C27,3,0)+'倾向-优先级表'!D12/60</f>
        <v>2.75</v>
      </c>
      <c r="R17" s="40">
        <f t="shared" si="7"/>
        <v>0.0474648015544713</v>
      </c>
      <c r="S17" s="40">
        <f t="shared" si="14"/>
        <v>6.96014307505893</v>
      </c>
      <c r="T17" s="40">
        <f t="shared" si="15"/>
        <v>12</v>
      </c>
      <c r="U17" s="40">
        <f t="shared" si="16"/>
        <v>0.202450398410837</v>
      </c>
      <c r="V17" s="40">
        <f t="shared" si="8"/>
        <v>0</v>
      </c>
      <c r="W17" s="103">
        <f t="shared" si="9"/>
        <v>0.00349427926734328</v>
      </c>
      <c r="X17" s="54">
        <f>VLOOKUP(G17,G33:L58,6,0)</f>
        <v>4125</v>
      </c>
      <c r="Y17" s="32">
        <f>VLOOKUP(G17,G33:L58,4,0)</f>
        <v>2848.09090909091</v>
      </c>
      <c r="Z17" s="32">
        <f t="shared" si="10"/>
        <v>71.1972023317069</v>
      </c>
      <c r="AA17" s="55">
        <f t="shared" si="11"/>
        <v>49.1578435669431</v>
      </c>
      <c r="AB17" s="32"/>
      <c r="AC17" s="32"/>
      <c r="AD17" s="32"/>
      <c r="AE17" s="32"/>
    </row>
    <row r="18" ht="15.6" spans="1:31">
      <c r="A18" s="41">
        <f>数据表!H19</f>
        <v>9</v>
      </c>
      <c r="B18" s="42" t="s">
        <v>241</v>
      </c>
      <c r="C18" s="43">
        <v>1.5</v>
      </c>
      <c r="D18" s="44">
        <v>3436</v>
      </c>
      <c r="E18" s="45">
        <f t="shared" ref="E18:E27" si="17">D18</f>
        <v>3436</v>
      </c>
      <c r="F18" s="39">
        <v>17</v>
      </c>
      <c r="G18" s="40" t="str">
        <f>VLOOKUP(17,数据表!A1:B26,2,0)</f>
        <v>研究委托3h</v>
      </c>
      <c r="H18" s="40">
        <f>VLOOKUP(G18,B2:E27,4,0)</f>
        <v>769</v>
      </c>
      <c r="I18" s="78">
        <f t="shared" si="12"/>
        <v>12494.67</v>
      </c>
      <c r="J18" s="78">
        <f t="shared" si="1"/>
        <v>0.0615462433181509</v>
      </c>
      <c r="K18" s="78">
        <f t="shared" si="2"/>
        <v>0.0205154144393836</v>
      </c>
      <c r="L18" s="78">
        <f t="shared" si="3"/>
        <v>0.79292816249412</v>
      </c>
      <c r="M18" s="78">
        <f t="shared" si="4"/>
        <v>0.20707183750588</v>
      </c>
      <c r="N18" s="78">
        <f t="shared" si="5"/>
        <v>0.0157806073306122</v>
      </c>
      <c r="O18" s="78">
        <f t="shared" si="6"/>
        <v>0.00412107869473342</v>
      </c>
      <c r="P18" s="40">
        <f t="shared" si="13"/>
        <v>0.892178876560295</v>
      </c>
      <c r="Q18" s="40">
        <f>VLOOKUP(17,A2:C27,3,0)+'倾向-优先级表'!D12/60</f>
        <v>3.25</v>
      </c>
      <c r="R18" s="40">
        <f t="shared" si="7"/>
        <v>0.0133935057578836</v>
      </c>
      <c r="S18" s="40">
        <f t="shared" si="14"/>
        <v>6.96014307505893</v>
      </c>
      <c r="T18" s="40">
        <f t="shared" si="15"/>
        <v>12</v>
      </c>
      <c r="U18" s="40">
        <f t="shared" si="16"/>
        <v>0.202450398410837</v>
      </c>
      <c r="V18" s="40">
        <f t="shared" si="8"/>
        <v>0</v>
      </c>
      <c r="W18" s="103">
        <f t="shared" si="9"/>
        <v>0.000834314023631193</v>
      </c>
      <c r="X18" s="54">
        <f>VLOOKUP(G18,G33:L58,6,0)</f>
        <v>4875</v>
      </c>
      <c r="Y18" s="32">
        <f>VLOOKUP(G18,G33:L58,4,0)</f>
        <v>1699.2</v>
      </c>
      <c r="Z18" s="32">
        <f t="shared" si="10"/>
        <v>20.0902586368254</v>
      </c>
      <c r="AA18" s="55">
        <f t="shared" si="11"/>
        <v>7.00253691809103</v>
      </c>
      <c r="AB18" s="32"/>
      <c r="AC18" s="32"/>
      <c r="AD18" s="32"/>
      <c r="AE18" s="32"/>
    </row>
    <row r="19" ht="15.6" spans="1:31">
      <c r="A19" s="41">
        <f>数据表!H20</f>
        <v>16</v>
      </c>
      <c r="B19" s="46" t="s">
        <v>242</v>
      </c>
      <c r="C19" s="43">
        <v>2.5</v>
      </c>
      <c r="D19" s="44">
        <v>2346</v>
      </c>
      <c r="E19" s="45">
        <f t="shared" si="17"/>
        <v>2346</v>
      </c>
      <c r="F19" s="39">
        <v>18</v>
      </c>
      <c r="G19" s="40" t="str">
        <f>VLOOKUP(18,数据表!A1:B26,2,0)</f>
        <v>彩船定向5h</v>
      </c>
      <c r="H19" s="40">
        <f>VLOOKUP(G19,B2:E27,4,0)</f>
        <v>1214.4</v>
      </c>
      <c r="I19" s="78">
        <f t="shared" si="12"/>
        <v>11725.67</v>
      </c>
      <c r="J19" s="78">
        <f t="shared" si="1"/>
        <v>0.103567642616584</v>
      </c>
      <c r="K19" s="78">
        <f t="shared" si="2"/>
        <v>0.0345225475388613</v>
      </c>
      <c r="L19" s="78">
        <f t="shared" si="3"/>
        <v>0.671485817925181</v>
      </c>
      <c r="M19" s="78">
        <f t="shared" si="4"/>
        <v>0.328514182074819</v>
      </c>
      <c r="N19" s="78">
        <f t="shared" si="5"/>
        <v>0.0105964540207523</v>
      </c>
      <c r="O19" s="78">
        <f t="shared" si="6"/>
        <v>0.00518415330985998</v>
      </c>
      <c r="P19" s="40">
        <f t="shared" si="13"/>
        <v>0.892178876560295</v>
      </c>
      <c r="Q19" s="40">
        <f>VLOOKUP(18,A2:C27,3,0)+'倾向-优先级表'!D12/60</f>
        <v>5.25</v>
      </c>
      <c r="R19" s="40">
        <f t="shared" si="7"/>
        <v>0.0272168048767649</v>
      </c>
      <c r="S19" s="40">
        <f t="shared" si="14"/>
        <v>6.96014307505893</v>
      </c>
      <c r="T19" s="40">
        <f t="shared" si="15"/>
        <v>12</v>
      </c>
      <c r="U19" s="40">
        <f t="shared" si="16"/>
        <v>0.202450398410837</v>
      </c>
      <c r="V19" s="40">
        <f t="shared" si="8"/>
        <v>0</v>
      </c>
      <c r="W19" s="103">
        <f t="shared" si="9"/>
        <v>0.00104953390300401</v>
      </c>
      <c r="X19" s="54">
        <f>VLOOKUP(G19,G33:L58,6,0)</f>
        <v>7875</v>
      </c>
      <c r="Y19" s="32">
        <f>VLOOKUP(G19,G33:L58,4,0)</f>
        <v>5857.09090909091</v>
      </c>
      <c r="Z19" s="32">
        <f t="shared" si="10"/>
        <v>40.8252073151473</v>
      </c>
      <c r="AA19" s="55">
        <f t="shared" si="11"/>
        <v>30.3640572225144</v>
      </c>
      <c r="AB19" s="32"/>
      <c r="AC19" s="32"/>
      <c r="AD19" s="32"/>
      <c r="AE19" s="32"/>
    </row>
    <row r="20" ht="15.6" spans="1:31">
      <c r="A20" s="41">
        <f>数据表!H21</f>
        <v>8</v>
      </c>
      <c r="B20" s="42" t="s">
        <v>243</v>
      </c>
      <c r="C20" s="43">
        <v>4</v>
      </c>
      <c r="D20" s="44">
        <v>1793</v>
      </c>
      <c r="E20" s="45">
        <f t="shared" si="17"/>
        <v>1793</v>
      </c>
      <c r="F20" s="39">
        <v>19</v>
      </c>
      <c r="G20" s="40" t="str">
        <f>VLOOKUP(19,数据表!A1:B26,2,0)</f>
        <v>金船定向5h</v>
      </c>
      <c r="H20" s="40">
        <f>VLOOKUP(G20,B2:E27,4,0)</f>
        <v>1821.6</v>
      </c>
      <c r="I20" s="78">
        <f t="shared" si="12"/>
        <v>10511.27</v>
      </c>
      <c r="J20" s="78">
        <f t="shared" si="1"/>
        <v>0.173299705934678</v>
      </c>
      <c r="K20" s="78">
        <f t="shared" si="2"/>
        <v>0.0577665686448926</v>
      </c>
      <c r="L20" s="78">
        <f t="shared" si="3"/>
        <v>0.501604351091206</v>
      </c>
      <c r="M20" s="78">
        <f t="shared" si="4"/>
        <v>0.498395648908794</v>
      </c>
      <c r="N20" s="78">
        <f t="shared" si="5"/>
        <v>0.00531522744294725</v>
      </c>
      <c r="O20" s="78">
        <f t="shared" si="6"/>
        <v>0.00528122657780502</v>
      </c>
      <c r="P20" s="40">
        <f t="shared" si="13"/>
        <v>0.892178876560295</v>
      </c>
      <c r="Q20" s="40">
        <f>VLOOKUP(19,A2:C27,3,0)+'倾向-优先级表'!D12/60</f>
        <v>5.25</v>
      </c>
      <c r="R20" s="40">
        <f t="shared" si="7"/>
        <v>0.0277264395334764</v>
      </c>
      <c r="S20" s="40">
        <f t="shared" si="14"/>
        <v>6.96014307505893</v>
      </c>
      <c r="T20" s="40">
        <f t="shared" si="15"/>
        <v>12</v>
      </c>
      <c r="U20" s="40">
        <f t="shared" si="16"/>
        <v>0.202450398410837</v>
      </c>
      <c r="V20" s="40">
        <f t="shared" si="8"/>
        <v>0</v>
      </c>
      <c r="W20" s="103">
        <f t="shared" si="9"/>
        <v>0.00106918642477453</v>
      </c>
      <c r="X20" s="54">
        <f>VLOOKUP(G20,G33:L58,6,0)</f>
        <v>7875</v>
      </c>
      <c r="Y20" s="32">
        <f>VLOOKUP(G20,G33:L58,4,0)</f>
        <v>4988.18181818182</v>
      </c>
      <c r="Z20" s="32">
        <f t="shared" si="10"/>
        <v>41.5896593002145</v>
      </c>
      <c r="AA20" s="55">
        <f t="shared" si="11"/>
        <v>26.3437183931056</v>
      </c>
      <c r="AB20" s="32"/>
      <c r="AC20" s="32"/>
      <c r="AD20" s="32"/>
      <c r="AE20" s="32"/>
    </row>
    <row r="21" ht="15.6" spans="1:31">
      <c r="A21" s="41">
        <f>数据表!H22</f>
        <v>15</v>
      </c>
      <c r="B21" s="42" t="s">
        <v>245</v>
      </c>
      <c r="C21" s="43">
        <v>2</v>
      </c>
      <c r="D21" s="44">
        <v>709</v>
      </c>
      <c r="E21" s="45">
        <f t="shared" si="17"/>
        <v>709</v>
      </c>
      <c r="F21" s="39">
        <v>20</v>
      </c>
      <c r="G21" s="40" t="str">
        <f>VLOOKUP(20,数据表!A1:B26,2,0)</f>
        <v>魔方解析2h</v>
      </c>
      <c r="H21" s="40">
        <f>VLOOKUP(G21,B2:E27,4,0)</f>
        <v>2649</v>
      </c>
      <c r="I21" s="78">
        <f t="shared" si="12"/>
        <v>8689.67</v>
      </c>
      <c r="J21" s="78">
        <f t="shared" si="1"/>
        <v>0.304844717923696</v>
      </c>
      <c r="K21" s="78">
        <f t="shared" si="2"/>
        <v>0.101614905974565</v>
      </c>
      <c r="L21" s="78">
        <f t="shared" si="3"/>
        <v>0.271125618785645</v>
      </c>
      <c r="M21" s="78">
        <f t="shared" si="4"/>
        <v>0.728874381214355</v>
      </c>
      <c r="N21" s="78">
        <f t="shared" si="5"/>
        <v>0.00144109432945552</v>
      </c>
      <c r="O21" s="78">
        <f t="shared" si="6"/>
        <v>0.00387413311349173</v>
      </c>
      <c r="P21" s="40">
        <f t="shared" si="13"/>
        <v>0.892178876560295</v>
      </c>
      <c r="Q21" s="40">
        <f>VLOOKUP(20,A2:C27,3,0)+'倾向-优先级表'!D12/60</f>
        <v>2.25</v>
      </c>
      <c r="R21" s="40">
        <f t="shared" si="7"/>
        <v>0.00871679950535639</v>
      </c>
      <c r="S21" s="40">
        <f t="shared" si="14"/>
        <v>6.96014307505893</v>
      </c>
      <c r="T21" s="40">
        <f t="shared" si="15"/>
        <v>12</v>
      </c>
      <c r="U21" s="40">
        <f t="shared" si="16"/>
        <v>0.202450398410837</v>
      </c>
      <c r="V21" s="40">
        <f t="shared" si="8"/>
        <v>0</v>
      </c>
      <c r="W21" s="103">
        <f t="shared" si="9"/>
        <v>0.000784319792323017</v>
      </c>
      <c r="X21" s="54">
        <f>VLOOKUP(G21,G33:L58,6,0)</f>
        <v>8175</v>
      </c>
      <c r="Y21" s="32">
        <f>VLOOKUP(G21,G33:L58,4,0)</f>
        <v>4637.14909090909</v>
      </c>
      <c r="Z21" s="32">
        <f t="shared" si="10"/>
        <v>31.6710382027949</v>
      </c>
      <c r="AA21" s="55">
        <f t="shared" si="11"/>
        <v>17.964932845289</v>
      </c>
      <c r="AB21" s="32"/>
      <c r="AC21" s="32"/>
      <c r="AD21" s="32"/>
      <c r="AE21" s="32"/>
    </row>
    <row r="22" ht="15.6" spans="1:31">
      <c r="A22" s="41">
        <f>数据表!H23</f>
        <v>12</v>
      </c>
      <c r="B22" s="42" t="s">
        <v>246</v>
      </c>
      <c r="C22" s="43">
        <v>2</v>
      </c>
      <c r="D22" s="44">
        <v>482</v>
      </c>
      <c r="E22" s="45">
        <f t="shared" si="17"/>
        <v>482</v>
      </c>
      <c r="F22" s="39">
        <v>21</v>
      </c>
      <c r="G22" s="40" t="str">
        <f>VLOOKUP(21,数据表!A1:B26,2,0)</f>
        <v>彩船定向8h</v>
      </c>
      <c r="H22" s="40">
        <f>VLOOKUP(G22,B2:E27,4,0)</f>
        <v>286.4</v>
      </c>
      <c r="I22" s="78">
        <f t="shared" si="12"/>
        <v>6040.67</v>
      </c>
      <c r="J22" s="78">
        <f t="shared" si="1"/>
        <v>0.0474119592694188</v>
      </c>
      <c r="K22" s="78">
        <f t="shared" si="2"/>
        <v>0.0158039864231396</v>
      </c>
      <c r="L22" s="78">
        <f t="shared" si="3"/>
        <v>0.837295154304852</v>
      </c>
      <c r="M22" s="78">
        <f t="shared" si="4"/>
        <v>0.162704845695148</v>
      </c>
      <c r="N22" s="78">
        <f t="shared" si="5"/>
        <v>0.0012066212989493</v>
      </c>
      <c r="O22" s="78">
        <f t="shared" si="6"/>
        <v>0.000234473030506212</v>
      </c>
      <c r="P22" s="40">
        <f t="shared" si="13"/>
        <v>0.892178876560295</v>
      </c>
      <c r="Q22" s="40">
        <f>VLOOKUP(21,A2:C27,3,0)+'倾向-优先级表'!D12/60</f>
        <v>8.25</v>
      </c>
      <c r="R22" s="40">
        <f t="shared" si="7"/>
        <v>0.00193440250167625</v>
      </c>
      <c r="S22" s="40">
        <f t="shared" si="14"/>
        <v>6.96014307505893</v>
      </c>
      <c r="T22" s="40">
        <f t="shared" si="15"/>
        <v>12</v>
      </c>
      <c r="U22" s="40">
        <f t="shared" si="16"/>
        <v>0.202450398410837</v>
      </c>
      <c r="V22" s="40">
        <f t="shared" si="8"/>
        <v>0</v>
      </c>
      <c r="W22" s="103">
        <f t="shared" si="9"/>
        <v>4.74691584425789e-5</v>
      </c>
      <c r="X22" s="54">
        <f>VLOOKUP(G22,G33:L58,6,0)</f>
        <v>12375</v>
      </c>
      <c r="Y22" s="32">
        <f>VLOOKUP(G22,G33:L58,4,0)</f>
        <v>9783.27272727273</v>
      </c>
      <c r="Z22" s="32">
        <f t="shared" si="10"/>
        <v>2.90160375251437</v>
      </c>
      <c r="AA22" s="55">
        <f t="shared" si="11"/>
        <v>2.29391360463241</v>
      </c>
      <c r="AB22" s="32"/>
      <c r="AC22" s="32"/>
      <c r="AD22" s="32"/>
      <c r="AE22" s="32"/>
    </row>
    <row r="23" ht="15.6" spans="1:31">
      <c r="A23" s="41">
        <f>数据表!H24</f>
        <v>14</v>
      </c>
      <c r="B23" s="42" t="s">
        <v>247</v>
      </c>
      <c r="C23" s="43">
        <v>4</v>
      </c>
      <c r="D23" s="44">
        <v>361</v>
      </c>
      <c r="E23" s="45">
        <f t="shared" si="17"/>
        <v>361</v>
      </c>
      <c r="F23" s="39">
        <v>22</v>
      </c>
      <c r="G23" s="40" t="str">
        <f>VLOOKUP(22,数据表!A1:B26,2,0)</f>
        <v>金船定向8h</v>
      </c>
      <c r="H23" s="40">
        <f>VLOOKUP(G23,B2:E27,4,0)</f>
        <v>429.6</v>
      </c>
      <c r="I23" s="78">
        <f t="shared" si="12"/>
        <v>5754.27</v>
      </c>
      <c r="J23" s="78">
        <f t="shared" si="1"/>
        <v>0.0746576020937495</v>
      </c>
      <c r="K23" s="78">
        <f t="shared" si="2"/>
        <v>0.0248858673645832</v>
      </c>
      <c r="L23" s="78">
        <f t="shared" si="3"/>
        <v>0.753387284290167</v>
      </c>
      <c r="M23" s="78">
        <f t="shared" si="4"/>
        <v>0.246612715709833</v>
      </c>
      <c r="N23" s="78">
        <f t="shared" si="5"/>
        <v>0.00090905314358209</v>
      </c>
      <c r="O23" s="78">
        <f t="shared" si="6"/>
        <v>0.000297568155367214</v>
      </c>
      <c r="P23" s="40">
        <f t="shared" si="13"/>
        <v>0.892178876560295</v>
      </c>
      <c r="Q23" s="40">
        <f>VLOOKUP(22,A2:C27,3,0)+'倾向-优先级表'!D12/60</f>
        <v>8.25</v>
      </c>
      <c r="R23" s="40">
        <f t="shared" si="7"/>
        <v>0.00245493728177952</v>
      </c>
      <c r="S23" s="40">
        <f t="shared" si="14"/>
        <v>6.96014307505893</v>
      </c>
      <c r="T23" s="40">
        <f t="shared" si="15"/>
        <v>12</v>
      </c>
      <c r="U23" s="40">
        <f t="shared" si="16"/>
        <v>0.202450398410837</v>
      </c>
      <c r="V23" s="40">
        <f t="shared" si="8"/>
        <v>0</v>
      </c>
      <c r="W23" s="103">
        <f t="shared" si="9"/>
        <v>6.02427916084703e-5</v>
      </c>
      <c r="X23" s="54">
        <f>VLOOKUP(G23,G33:L58,6,0)</f>
        <v>12375</v>
      </c>
      <c r="Y23" s="32">
        <f>VLOOKUP(G23,G33:L58,4,0)</f>
        <v>8393.01818181818</v>
      </c>
      <c r="Z23" s="32">
        <f t="shared" si="10"/>
        <v>3.68240592266927</v>
      </c>
      <c r="AA23" s="55">
        <f t="shared" si="11"/>
        <v>2.49749493832712</v>
      </c>
      <c r="AB23" s="32"/>
      <c r="AC23" s="32"/>
      <c r="AD23" s="32"/>
      <c r="AE23" s="32"/>
    </row>
    <row r="24" ht="15.6" spans="1:31">
      <c r="A24" s="41">
        <f>数据表!H25</f>
        <v>23</v>
      </c>
      <c r="B24" s="42" t="s">
        <v>249</v>
      </c>
      <c r="C24" s="43">
        <v>6</v>
      </c>
      <c r="D24" s="44">
        <v>1757</v>
      </c>
      <c r="E24" s="45">
        <f t="shared" si="17"/>
        <v>1757</v>
      </c>
      <c r="F24" s="39">
        <v>23</v>
      </c>
      <c r="G24" s="40" t="str">
        <f>VLOOKUP(23,数据表!A1:B26,2,0)</f>
        <v>基础研究6h</v>
      </c>
      <c r="H24" s="40">
        <f>VLOOKUP(G24,B2:E27,4,0)</f>
        <v>1757</v>
      </c>
      <c r="I24" s="78">
        <f t="shared" si="12"/>
        <v>5324.67</v>
      </c>
      <c r="J24" s="78">
        <f t="shared" si="1"/>
        <v>0.329973500705208</v>
      </c>
      <c r="K24" s="78">
        <f t="shared" si="2"/>
        <v>0.109991166901736</v>
      </c>
      <c r="L24" s="78">
        <f t="shared" si="3"/>
        <v>0.238267370229763</v>
      </c>
      <c r="M24" s="78">
        <f t="shared" si="4"/>
        <v>0.761732629770237</v>
      </c>
      <c r="N24" s="78">
        <f t="shared" si="5"/>
        <v>0.000216597701920404</v>
      </c>
      <c r="O24" s="78">
        <f t="shared" si="6"/>
        <v>0.000692455441661687</v>
      </c>
      <c r="P24" s="40">
        <f t="shared" si="13"/>
        <v>0.892178876560295</v>
      </c>
      <c r="Q24" s="40">
        <f>VLOOKUP(23,A2:C27,3,0)+'倾向-优先级表'!D12/60</f>
        <v>6.25</v>
      </c>
      <c r="R24" s="40">
        <f t="shared" si="7"/>
        <v>0.00432784651038554</v>
      </c>
      <c r="S24" s="40">
        <f t="shared" si="14"/>
        <v>6.96014307505893</v>
      </c>
      <c r="T24" s="40">
        <f t="shared" si="15"/>
        <v>12</v>
      </c>
      <c r="U24" s="40">
        <f t="shared" si="16"/>
        <v>0.202450398410837</v>
      </c>
      <c r="V24" s="40">
        <f t="shared" si="8"/>
        <v>0</v>
      </c>
      <c r="W24" s="103">
        <f t="shared" si="9"/>
        <v>0.000140187880046161</v>
      </c>
      <c r="X24" s="54">
        <f>VLOOKUP(G24,G33:L58,6,0)</f>
        <v>9375</v>
      </c>
      <c r="Y24" s="32">
        <f>VLOOKUP(G24,G33:L58,4,0)</f>
        <v>3707.34545454545</v>
      </c>
      <c r="Z24" s="32">
        <f t="shared" si="10"/>
        <v>6.49176976557831</v>
      </c>
      <c r="AA24" s="55">
        <f t="shared" si="11"/>
        <v>2.56717153411972</v>
      </c>
      <c r="AB24" s="32"/>
      <c r="AC24" s="32"/>
      <c r="AD24" s="32"/>
      <c r="AE24" s="32"/>
    </row>
    <row r="25" ht="15.6" spans="1:31">
      <c r="A25" s="41">
        <f>数据表!H26</f>
        <v>24</v>
      </c>
      <c r="B25" s="42" t="s">
        <v>250</v>
      </c>
      <c r="C25" s="43">
        <v>8</v>
      </c>
      <c r="D25" s="44">
        <v>1244</v>
      </c>
      <c r="E25" s="45">
        <f t="shared" si="17"/>
        <v>1244</v>
      </c>
      <c r="F25" s="39">
        <v>24</v>
      </c>
      <c r="G25" s="40" t="str">
        <f>VLOOKUP(24,数据表!A1:B26,2,0)</f>
        <v>基础研究8h</v>
      </c>
      <c r="H25" s="40">
        <f>VLOOKUP(G25,B2:E27,4,0)</f>
        <v>1244</v>
      </c>
      <c r="I25" s="78">
        <f t="shared" si="12"/>
        <v>3567.67</v>
      </c>
      <c r="J25" s="78">
        <f t="shared" si="1"/>
        <v>0.348686958154762</v>
      </c>
      <c r="K25" s="78">
        <f t="shared" si="2"/>
        <v>0.116228986051587</v>
      </c>
      <c r="L25" s="78">
        <f t="shared" si="3"/>
        <v>0.215798703146027</v>
      </c>
      <c r="M25" s="78">
        <f t="shared" si="4"/>
        <v>0.784201296853973</v>
      </c>
      <c r="N25" s="78">
        <f t="shared" si="5"/>
        <v>4.67415031788329e-5</v>
      </c>
      <c r="O25" s="78">
        <f t="shared" si="6"/>
        <v>0.000169856198741571</v>
      </c>
      <c r="P25" s="40">
        <f t="shared" si="13"/>
        <v>0.892178876560295</v>
      </c>
      <c r="Q25" s="40">
        <f>VLOOKUP(24,A2:C27,3,0)+'倾向-优先级表'!D12/60</f>
        <v>8.25</v>
      </c>
      <c r="R25" s="40">
        <f t="shared" si="7"/>
        <v>0.00140131363961796</v>
      </c>
      <c r="S25" s="40">
        <f t="shared" si="14"/>
        <v>6.96014307505893</v>
      </c>
      <c r="T25" s="40">
        <f t="shared" si="15"/>
        <v>12</v>
      </c>
      <c r="U25" s="40">
        <f t="shared" si="16"/>
        <v>0.202450398410837</v>
      </c>
      <c r="V25" s="40">
        <f t="shared" si="8"/>
        <v>0</v>
      </c>
      <c r="W25" s="103">
        <f t="shared" si="9"/>
        <v>3.43874551077813e-5</v>
      </c>
      <c r="X25" s="54">
        <f>VLOOKUP(G25,G33:L58,6,0)</f>
        <v>12375</v>
      </c>
      <c r="Y25" s="32">
        <f>VLOOKUP(G25,G33:L58,4,0)</f>
        <v>4994.61818181818</v>
      </c>
      <c r="Z25" s="32">
        <f t="shared" si="10"/>
        <v>2.10197045942694</v>
      </c>
      <c r="AA25" s="55">
        <f t="shared" si="11"/>
        <v>0.848366858529172</v>
      </c>
      <c r="AB25" s="32"/>
      <c r="AC25" s="32"/>
      <c r="AD25" s="32"/>
      <c r="AE25" s="32"/>
    </row>
    <row r="26" ht="15.6" spans="1:31">
      <c r="A26" s="41">
        <f>数据表!H27</f>
        <v>26</v>
      </c>
      <c r="B26" s="42" t="s">
        <v>252</v>
      </c>
      <c r="C26" s="43">
        <v>12</v>
      </c>
      <c r="D26" s="44">
        <v>452</v>
      </c>
      <c r="E26" s="45">
        <f t="shared" si="17"/>
        <v>452</v>
      </c>
      <c r="F26" s="39">
        <v>25</v>
      </c>
      <c r="G26" s="40" t="str">
        <f>VLOOKUP(25,数据表!A1:B26,2,0)</f>
        <v>魔方解析4h</v>
      </c>
      <c r="H26" s="40">
        <f>VLOOKUP(G26,B2:E27,4,0)</f>
        <v>591</v>
      </c>
      <c r="I26" s="78">
        <f t="shared" si="12"/>
        <v>2323.67</v>
      </c>
      <c r="J26" s="78">
        <f t="shared" si="1"/>
        <v>0.25433904125801</v>
      </c>
      <c r="K26" s="78">
        <f t="shared" si="2"/>
        <v>0.0847796804193367</v>
      </c>
      <c r="L26" s="78">
        <f t="shared" si="3"/>
        <v>0.34727660101802</v>
      </c>
      <c r="M26" s="78">
        <f t="shared" si="4"/>
        <v>0.65272339898198</v>
      </c>
      <c r="N26" s="78">
        <f t="shared" si="5"/>
        <v>1.62322303504181e-5</v>
      </c>
      <c r="O26" s="78">
        <f t="shared" si="6"/>
        <v>3.05092728284148e-5</v>
      </c>
      <c r="P26" s="40">
        <f t="shared" si="13"/>
        <v>0.892178876560295</v>
      </c>
      <c r="Q26" s="40">
        <f>VLOOKUP(25,A2:C27,3,0)+'倾向-优先级表'!D12/60</f>
        <v>4.25</v>
      </c>
      <c r="R26" s="40">
        <f t="shared" si="7"/>
        <v>0.000129664409520763</v>
      </c>
      <c r="S26" s="40">
        <f t="shared" si="14"/>
        <v>6.96014307505893</v>
      </c>
      <c r="T26" s="40">
        <f t="shared" si="15"/>
        <v>12</v>
      </c>
      <c r="U26" s="40">
        <f t="shared" si="16"/>
        <v>0.202450398410837</v>
      </c>
      <c r="V26" s="40">
        <f t="shared" si="8"/>
        <v>0</v>
      </c>
      <c r="W26" s="103">
        <f t="shared" si="9"/>
        <v>6.17661443933751e-6</v>
      </c>
      <c r="X26" s="54">
        <f>VLOOKUP(G26,G33:L58,6,0)</f>
        <v>14375</v>
      </c>
      <c r="Y26" s="32">
        <f>VLOOKUP(G26,G33:L58,4,0)</f>
        <v>6184.66909090909</v>
      </c>
      <c r="Z26" s="32">
        <f t="shared" si="10"/>
        <v>0.438570796908463</v>
      </c>
      <c r="AA26" s="55">
        <f t="shared" si="11"/>
        <v>0.18868975664801</v>
      </c>
      <c r="AB26" s="32"/>
      <c r="AC26" s="32"/>
      <c r="AD26" s="32"/>
      <c r="AE26" s="32"/>
    </row>
    <row r="27" ht="16.35" spans="1:31">
      <c r="A27" s="47">
        <f>数据表!H28</f>
        <v>17</v>
      </c>
      <c r="B27" s="48" t="s">
        <v>254</v>
      </c>
      <c r="C27" s="49">
        <v>3</v>
      </c>
      <c r="D27" s="50">
        <v>769</v>
      </c>
      <c r="E27" s="51">
        <f t="shared" si="17"/>
        <v>769</v>
      </c>
      <c r="F27" s="52">
        <v>26</v>
      </c>
      <c r="G27" s="53" t="str">
        <f>VLOOKUP(26,数据表!A1:B26,2,0)</f>
        <v>基础研究12h</v>
      </c>
      <c r="H27" s="53">
        <f>VLOOKUP(G27,B2:E27,4,0)</f>
        <v>452</v>
      </c>
      <c r="I27" s="79">
        <f t="shared" si="12"/>
        <v>1732.67</v>
      </c>
      <c r="J27" s="79">
        <f t="shared" si="1"/>
        <v>0.260869063353091</v>
      </c>
      <c r="K27" s="79">
        <f t="shared" si="2"/>
        <v>0.0869563544510304</v>
      </c>
      <c r="L27" s="79">
        <f t="shared" si="3"/>
        <v>0.336625659529348</v>
      </c>
      <c r="M27" s="79">
        <f t="shared" si="4"/>
        <v>0.663374340470652</v>
      </c>
      <c r="N27" s="79">
        <f t="shared" si="5"/>
        <v>5.46418524734178e-6</v>
      </c>
      <c r="O27" s="79">
        <f t="shared" si="6"/>
        <v>1.07680451030763e-5</v>
      </c>
      <c r="P27" s="53">
        <f t="shared" si="13"/>
        <v>0.892178876560295</v>
      </c>
      <c r="Q27" s="53">
        <f>VLOOKUP(26,A2:C27,3,0)+'倾向-优先级表'!D12/60</f>
        <v>12.25</v>
      </c>
      <c r="R27" s="53">
        <f t="shared" si="7"/>
        <v>0.000131908552512684</v>
      </c>
      <c r="S27" s="53">
        <f t="shared" si="14"/>
        <v>6.96014307505893</v>
      </c>
      <c r="T27" s="53">
        <f t="shared" si="15"/>
        <v>12</v>
      </c>
      <c r="U27" s="53">
        <f t="shared" si="16"/>
        <v>0.202450398410837</v>
      </c>
      <c r="V27" s="53">
        <f t="shared" si="8"/>
        <v>0</v>
      </c>
      <c r="W27" s="104">
        <f t="shared" si="9"/>
        <v>2.17999502122366e-6</v>
      </c>
      <c r="X27" s="56">
        <f>VLOOKUP(G27,G33:L58,6,0)</f>
        <v>18375</v>
      </c>
      <c r="Y27" s="57">
        <f>VLOOKUP(G27,G33:L58,4,0)</f>
        <v>6410.61818181818</v>
      </c>
      <c r="Z27" s="57">
        <f t="shared" si="10"/>
        <v>0.197862828769027</v>
      </c>
      <c r="AA27" s="112">
        <f t="shared" si="11"/>
        <v>0.0690298257204191</v>
      </c>
      <c r="AB27" s="32"/>
      <c r="AC27" s="32"/>
      <c r="AD27" s="32"/>
      <c r="AE27" s="32"/>
    </row>
    <row r="28" spans="1:31">
      <c r="A28" s="54" t="s">
        <v>312</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313</v>
      </c>
      <c r="R28" s="106">
        <f>SUM(R2:R27)</f>
        <v>2.29384188327209</v>
      </c>
      <c r="S28" s="106" t="s">
        <v>314</v>
      </c>
      <c r="T28" s="106">
        <f>P27^R29</f>
        <v>0.451999952756902</v>
      </c>
      <c r="U28" s="106" t="s">
        <v>315</v>
      </c>
      <c r="V28" s="107">
        <f>IF((T29+T28-1)&gt;1,1,(T29+T28-1))</f>
        <v>0.202450398410837</v>
      </c>
      <c r="W28" s="32"/>
      <c r="X28" s="32"/>
      <c r="Y28" s="32"/>
      <c r="Z28" s="32">
        <f>SUM(Z2:Z27)</f>
        <v>3662.53337281744</v>
      </c>
      <c r="AA28" s="32">
        <f>SUM(AA2:AA27)</f>
        <v>5094.77146317177</v>
      </c>
      <c r="AB28" s="32">
        <f>100*AA28/Z28</f>
        <v>139.105120542631</v>
      </c>
      <c r="AC28" s="32"/>
      <c r="AD28" s="32"/>
      <c r="AE28" s="32"/>
    </row>
    <row r="29" ht="15.15" spans="1:31">
      <c r="A29" s="54" t="s">
        <v>316</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317</v>
      </c>
      <c r="R29" s="57">
        <f>(24-夜晚模拟!R28)/R28</f>
        <v>6.96014307505893</v>
      </c>
      <c r="S29" s="57" t="s">
        <v>318</v>
      </c>
      <c r="T29" s="57">
        <f>R29*(1-P2)</f>
        <v>0.750450445653935</v>
      </c>
      <c r="U29" s="100"/>
      <c r="V29" s="101"/>
      <c r="W29" s="32"/>
      <c r="X29" s="32"/>
      <c r="Y29" s="32"/>
      <c r="Z29" s="32"/>
      <c r="AA29" s="32"/>
      <c r="AB29" s="32"/>
      <c r="AC29" s="32"/>
      <c r="AD29" s="32"/>
      <c r="AE29" s="32"/>
    </row>
    <row r="30" ht="15.15" spans="1:31">
      <c r="A30" s="56" t="s">
        <v>319</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c r="AE30" s="32"/>
    </row>
    <row r="31" ht="15.6" spans="1:31">
      <c r="A31" s="32"/>
      <c r="B31" s="32"/>
      <c r="C31" s="32"/>
      <c r="D31" s="32"/>
      <c r="E31" s="32"/>
      <c r="F31" s="32"/>
      <c r="G31" s="59" t="s">
        <v>80</v>
      </c>
      <c r="H31" s="60"/>
      <c r="I31" s="80" t="s">
        <v>320</v>
      </c>
      <c r="J31" s="80" t="s">
        <v>309</v>
      </c>
      <c r="K31" s="80" t="s">
        <v>321</v>
      </c>
      <c r="L31" s="81" t="s">
        <v>308</v>
      </c>
      <c r="M31" s="64" t="s">
        <v>322</v>
      </c>
      <c r="N31" s="59" t="s">
        <v>209</v>
      </c>
      <c r="O31" s="60"/>
      <c r="P31" s="60"/>
      <c r="Q31" s="60"/>
      <c r="R31" s="60"/>
      <c r="S31" s="108" t="s">
        <v>323</v>
      </c>
      <c r="T31" s="109"/>
      <c r="U31" s="109"/>
      <c r="V31" s="109"/>
      <c r="W31" s="110"/>
      <c r="X31" s="34" t="s">
        <v>324</v>
      </c>
      <c r="Y31" s="34" t="s">
        <v>325</v>
      </c>
      <c r="Z31" s="80" t="s">
        <v>326</v>
      </c>
      <c r="AA31" s="80"/>
      <c r="AB31" s="113" t="s">
        <v>327</v>
      </c>
      <c r="AC31" s="114"/>
      <c r="AD31" s="32"/>
      <c r="AE31" s="32"/>
    </row>
    <row r="32" ht="16.35" spans="1:30">
      <c r="A32" s="32"/>
      <c r="B32" s="32"/>
      <c r="C32" s="32"/>
      <c r="D32" s="32"/>
      <c r="E32" s="32"/>
      <c r="F32" s="32"/>
      <c r="G32" s="117" t="s">
        <v>212</v>
      </c>
      <c r="H32" s="118" t="s">
        <v>213</v>
      </c>
      <c r="I32" s="121"/>
      <c r="J32" s="121"/>
      <c r="K32" s="121"/>
      <c r="L32" s="122"/>
      <c r="M32" s="88"/>
      <c r="N32" s="117" t="s">
        <v>69</v>
      </c>
      <c r="O32" s="118" t="s">
        <v>74</v>
      </c>
      <c r="P32" s="118" t="s">
        <v>89</v>
      </c>
      <c r="Q32" s="135" t="s">
        <v>328</v>
      </c>
      <c r="R32" s="87" t="s">
        <v>113</v>
      </c>
      <c r="S32" s="118" t="s">
        <v>69</v>
      </c>
      <c r="T32" s="118" t="s">
        <v>74</v>
      </c>
      <c r="U32" s="118" t="s">
        <v>89</v>
      </c>
      <c r="V32" s="87" t="s">
        <v>328</v>
      </c>
      <c r="W32" s="87" t="s">
        <v>113</v>
      </c>
      <c r="X32" s="87"/>
      <c r="Y32" s="87"/>
      <c r="Z32" s="118" t="s">
        <v>112</v>
      </c>
      <c r="AA32" s="118" t="s">
        <v>111</v>
      </c>
      <c r="AB32" s="87" t="s">
        <v>112</v>
      </c>
      <c r="AC32" s="137" t="s">
        <v>111</v>
      </c>
      <c r="AD32" s="32"/>
    </row>
    <row r="33" ht="15.6" spans="1:29">
      <c r="A33" s="32"/>
      <c r="B33" s="32"/>
      <c r="C33" s="32"/>
      <c r="D33" s="32"/>
      <c r="E33" s="32"/>
      <c r="F33" s="32"/>
      <c r="G33" s="33" t="s">
        <v>205</v>
      </c>
      <c r="H33" s="36">
        <v>1</v>
      </c>
      <c r="I33" s="34">
        <f>VLOOKUP(G33,G2:W27,17,0)</f>
        <v>0.0121229960480696</v>
      </c>
      <c r="J33" s="34">
        <f>数据表!T3</f>
        <v>3196.14545454545</v>
      </c>
      <c r="K33" s="34">
        <f t="shared" ref="K33:K58" si="18">J33*I33</f>
        <v>38.7468587145102</v>
      </c>
      <c r="L33" s="34">
        <f>数据表!R3</f>
        <v>4275</v>
      </c>
      <c r="M33" s="64">
        <f t="shared" ref="M33:M58" si="19">I33*L33</f>
        <v>51.8258081054977</v>
      </c>
      <c r="N33" s="123">
        <v>2.8</v>
      </c>
      <c r="O33" s="124">
        <v>0.71</v>
      </c>
      <c r="P33" s="125">
        <v>0</v>
      </c>
      <c r="Q33" s="34">
        <v>0</v>
      </c>
      <c r="R33" s="34">
        <f>数据表!P3*H33</f>
        <v>40</v>
      </c>
      <c r="S33" s="34">
        <f>N33*I33*H33</f>
        <v>0.0339443889345949</v>
      </c>
      <c r="T33" s="34">
        <f t="shared" ref="T33:T58" si="20">O33*I33*H33</f>
        <v>0.00860732719412943</v>
      </c>
      <c r="U33" s="34">
        <f t="shared" ref="U33:U58" si="21">P33*I33*H33</f>
        <v>0</v>
      </c>
      <c r="V33" s="34">
        <f>I33*Q33</f>
        <v>0</v>
      </c>
      <c r="W33" s="34">
        <f>R33*I33</f>
        <v>0.484919841922785</v>
      </c>
      <c r="X33" s="34">
        <f>数据表!G3+数据表!F32</f>
        <v>1.25</v>
      </c>
      <c r="Y33" s="34">
        <f t="shared" ref="Y33:Y58" si="22">I33*X33</f>
        <v>0.015153745060087</v>
      </c>
      <c r="Z33" s="138">
        <v>0</v>
      </c>
      <c r="AA33" s="138">
        <v>3</v>
      </c>
      <c r="AB33" s="34">
        <f t="shared" ref="AB33:AB58" si="23">Z33*I33</f>
        <v>0</v>
      </c>
      <c r="AC33" s="102">
        <f t="shared" ref="AC33:AC58" si="24">AA33*I33</f>
        <v>0.0363689881442089</v>
      </c>
    </row>
    <row r="34" ht="15.6" spans="1:29">
      <c r="A34" s="32"/>
      <c r="B34" s="32"/>
      <c r="C34" s="32"/>
      <c r="D34" s="32"/>
      <c r="E34" s="32"/>
      <c r="F34" s="32"/>
      <c r="G34" s="41" t="s">
        <v>211</v>
      </c>
      <c r="H34" s="43">
        <v>2</v>
      </c>
      <c r="I34" s="40">
        <f>VLOOKUP(G34,G2:W27,17,0)</f>
        <v>0.000784319792323017</v>
      </c>
      <c r="J34" s="40">
        <f>数据表!T4</f>
        <v>4637.14909090909</v>
      </c>
      <c r="K34" s="40">
        <f t="shared" si="18"/>
        <v>3.63700781195269</v>
      </c>
      <c r="L34" s="40">
        <f>数据表!R4</f>
        <v>8175</v>
      </c>
      <c r="M34" s="65">
        <f t="shared" si="19"/>
        <v>6.41181430224067</v>
      </c>
      <c r="N34" s="84">
        <v>1.96</v>
      </c>
      <c r="O34" s="85">
        <v>0.54</v>
      </c>
      <c r="P34" s="86">
        <v>0</v>
      </c>
      <c r="Q34" s="40">
        <v>0</v>
      </c>
      <c r="R34" s="40">
        <f>数据表!P4*H34</f>
        <v>60.32</v>
      </c>
      <c r="S34" s="40">
        <f t="shared" ref="S33:S58" si="25">N34*I34*H34</f>
        <v>0.00307453358590623</v>
      </c>
      <c r="T34" s="40">
        <f t="shared" si="20"/>
        <v>0.000847065375708859</v>
      </c>
      <c r="U34" s="40">
        <f t="shared" si="21"/>
        <v>0</v>
      </c>
      <c r="V34" s="40">
        <f t="shared" ref="V34:V58" si="26">I34*Q34</f>
        <v>0</v>
      </c>
      <c r="W34" s="40">
        <f t="shared" ref="W34:W58" si="27">R34*I34</f>
        <v>0.0473101698729244</v>
      </c>
      <c r="X34" s="40">
        <f>数据表!G4+数据表!F32</f>
        <v>2.25</v>
      </c>
      <c r="Y34" s="40">
        <f t="shared" si="22"/>
        <v>0.00176471953272679</v>
      </c>
      <c r="Z34" s="115">
        <v>0</v>
      </c>
      <c r="AA34" s="115">
        <v>6</v>
      </c>
      <c r="AB34" s="40">
        <f t="shared" si="23"/>
        <v>0</v>
      </c>
      <c r="AC34" s="103">
        <f t="shared" si="24"/>
        <v>0.0047059187539381</v>
      </c>
    </row>
    <row r="35" ht="15.6" spans="1:29">
      <c r="A35" s="32"/>
      <c r="B35" s="32"/>
      <c r="C35" s="32"/>
      <c r="D35" s="32"/>
      <c r="E35" s="32"/>
      <c r="F35" s="32"/>
      <c r="G35" s="41" t="s">
        <v>222</v>
      </c>
      <c r="H35" s="43">
        <v>4</v>
      </c>
      <c r="I35" s="40">
        <f>VLOOKUP(G35,G2:W27,17,0)</f>
        <v>6.17661443933751e-6</v>
      </c>
      <c r="J35" s="40">
        <f>数据表!T5</f>
        <v>6184.66909090909</v>
      </c>
      <c r="K35" s="40">
        <f t="shared" si="18"/>
        <v>0.0382003164094335</v>
      </c>
      <c r="L35" s="40">
        <f>数据表!R5</f>
        <v>14375</v>
      </c>
      <c r="M35" s="65">
        <f t="shared" si="19"/>
        <v>0.0887888325654767</v>
      </c>
      <c r="N35" s="84">
        <v>1.395</v>
      </c>
      <c r="O35" s="85">
        <v>0.31</v>
      </c>
      <c r="P35" s="86">
        <v>0</v>
      </c>
      <c r="Q35" s="40">
        <v>0</v>
      </c>
      <c r="R35" s="40">
        <f>数据表!P5*H35</f>
        <v>83.08</v>
      </c>
      <c r="S35" s="40">
        <f t="shared" si="25"/>
        <v>3.44655085715033e-5</v>
      </c>
      <c r="T35" s="40">
        <f t="shared" si="20"/>
        <v>7.65900190477851e-6</v>
      </c>
      <c r="U35" s="40">
        <f t="shared" si="21"/>
        <v>0</v>
      </c>
      <c r="V35" s="40">
        <f t="shared" si="26"/>
        <v>0</v>
      </c>
      <c r="W35" s="40">
        <f t="shared" si="27"/>
        <v>0.00051315312762016</v>
      </c>
      <c r="X35" s="40">
        <f>数据表!G5+数据表!F32</f>
        <v>4.25</v>
      </c>
      <c r="Y35" s="40">
        <f t="shared" si="22"/>
        <v>2.62506113671844e-5</v>
      </c>
      <c r="Z35" s="115">
        <v>0</v>
      </c>
      <c r="AA35" s="115">
        <v>10</v>
      </c>
      <c r="AB35" s="40">
        <f t="shared" si="23"/>
        <v>0</v>
      </c>
      <c r="AC35" s="103">
        <f t="shared" si="24"/>
        <v>6.17661443933751e-5</v>
      </c>
    </row>
    <row r="36" ht="16.35" spans="1:29">
      <c r="A36" s="32"/>
      <c r="B36" s="32"/>
      <c r="C36" s="32"/>
      <c r="D36" s="32"/>
      <c r="E36" s="32"/>
      <c r="F36" s="32"/>
      <c r="G36" s="47" t="s">
        <v>224</v>
      </c>
      <c r="H36" s="49">
        <v>0.5</v>
      </c>
      <c r="I36" s="53">
        <f>VLOOKUP(G36,G2:W27,17,0)</f>
        <v>0.00433236675157177</v>
      </c>
      <c r="J36" s="53">
        <f>数据表!T6</f>
        <v>5582.28545454545</v>
      </c>
      <c r="K36" s="53">
        <f t="shared" si="18"/>
        <v>24.1845079010554</v>
      </c>
      <c r="L36" s="53">
        <f>数据表!R6</f>
        <v>3525</v>
      </c>
      <c r="M36" s="126">
        <f t="shared" si="19"/>
        <v>15.2715927992905</v>
      </c>
      <c r="N36" s="91">
        <v>9.78</v>
      </c>
      <c r="O36" s="92">
        <v>1.97</v>
      </c>
      <c r="P36" s="93">
        <v>0</v>
      </c>
      <c r="Q36" s="53">
        <v>0</v>
      </c>
      <c r="R36" s="53">
        <f>数据表!P6*H36</f>
        <v>97.245</v>
      </c>
      <c r="S36" s="53">
        <f t="shared" si="25"/>
        <v>0.021185273415186</v>
      </c>
      <c r="T36" s="53">
        <f t="shared" si="20"/>
        <v>0.0042673812502982</v>
      </c>
      <c r="U36" s="53">
        <f t="shared" si="21"/>
        <v>0</v>
      </c>
      <c r="V36" s="53">
        <f t="shared" si="26"/>
        <v>0</v>
      </c>
      <c r="W36" s="53">
        <f t="shared" si="27"/>
        <v>0.421301004756597</v>
      </c>
      <c r="X36" s="53">
        <f>数据表!G6+数据表!F32</f>
        <v>0.75</v>
      </c>
      <c r="Y36" s="53">
        <f t="shared" si="22"/>
        <v>0.00324927506367883</v>
      </c>
      <c r="Z36" s="116">
        <v>8000</v>
      </c>
      <c r="AA36" s="116">
        <v>5</v>
      </c>
      <c r="AB36" s="53">
        <f t="shared" si="23"/>
        <v>34.6589340125742</v>
      </c>
      <c r="AC36" s="104">
        <f t="shared" si="24"/>
        <v>0.0216618337578589</v>
      </c>
    </row>
    <row r="37" ht="15.6" spans="1:29">
      <c r="A37" s="32"/>
      <c r="B37" s="32"/>
      <c r="C37" s="32"/>
      <c r="D37" s="32"/>
      <c r="E37" s="32"/>
      <c r="F37" s="32"/>
      <c r="G37" s="119" t="s">
        <v>225</v>
      </c>
      <c r="H37" s="120">
        <v>1</v>
      </c>
      <c r="I37" s="127">
        <f>VLOOKUP(G37,G2:W27,17,0)</f>
        <v>0.241781115143888</v>
      </c>
      <c r="J37" s="127">
        <f>数据表!T7</f>
        <v>2677.52727272727</v>
      </c>
      <c r="K37" s="127">
        <f t="shared" si="18"/>
        <v>647.375529828174</v>
      </c>
      <c r="L37" s="127">
        <f>数据表!R7</f>
        <v>1875</v>
      </c>
      <c r="M37" s="128">
        <f t="shared" si="19"/>
        <v>453.339590894791</v>
      </c>
      <c r="N37" s="129">
        <v>0</v>
      </c>
      <c r="O37" s="130">
        <v>0</v>
      </c>
      <c r="P37" s="131">
        <v>0.052</v>
      </c>
      <c r="Q37" s="127">
        <v>0.44</v>
      </c>
      <c r="R37" s="127">
        <f>数据表!P7*H37</f>
        <v>0</v>
      </c>
      <c r="S37" s="127">
        <f t="shared" si="25"/>
        <v>0</v>
      </c>
      <c r="T37" s="127">
        <f t="shared" si="20"/>
        <v>0</v>
      </c>
      <c r="U37" s="127">
        <f t="shared" si="21"/>
        <v>0.0125726179874822</v>
      </c>
      <c r="V37" s="127">
        <f t="shared" si="26"/>
        <v>0.106383690663311</v>
      </c>
      <c r="W37" s="127">
        <f t="shared" si="27"/>
        <v>0</v>
      </c>
      <c r="X37" s="127">
        <f>数据表!G7+数据表!F32</f>
        <v>1.25</v>
      </c>
      <c r="Y37" s="127">
        <f t="shared" si="22"/>
        <v>0.30222639392986</v>
      </c>
      <c r="Z37" s="139">
        <v>0</v>
      </c>
      <c r="AA37" s="139">
        <v>0</v>
      </c>
      <c r="AB37" s="127">
        <f t="shared" si="23"/>
        <v>0</v>
      </c>
      <c r="AC37" s="140">
        <f t="shared" si="24"/>
        <v>0</v>
      </c>
    </row>
    <row r="38" ht="15.6" spans="1:29">
      <c r="A38" s="32"/>
      <c r="B38" s="32"/>
      <c r="C38" s="32"/>
      <c r="D38" s="32"/>
      <c r="E38" s="32"/>
      <c r="F38" s="32"/>
      <c r="G38" s="41" t="s">
        <v>226</v>
      </c>
      <c r="H38" s="43">
        <v>2</v>
      </c>
      <c r="I38" s="40">
        <f>VLOOKUP(G38,G2:W27,17,0)</f>
        <v>0.14657694914959</v>
      </c>
      <c r="J38" s="40">
        <f>数据表!T8</f>
        <v>4840.14545454545</v>
      </c>
      <c r="K38" s="40">
        <f t="shared" si="18"/>
        <v>709.453754167527</v>
      </c>
      <c r="L38" s="40">
        <f>数据表!R8</f>
        <v>3375</v>
      </c>
      <c r="M38" s="65">
        <f t="shared" si="19"/>
        <v>494.697203379866</v>
      </c>
      <c r="N38" s="84">
        <v>0</v>
      </c>
      <c r="O38" s="85">
        <v>0</v>
      </c>
      <c r="P38" s="86">
        <v>0.047</v>
      </c>
      <c r="Q38" s="40">
        <v>0.79</v>
      </c>
      <c r="R38" s="40">
        <f>数据表!P8*H38</f>
        <v>0</v>
      </c>
      <c r="S38" s="40">
        <f t="shared" si="25"/>
        <v>0</v>
      </c>
      <c r="T38" s="40">
        <f t="shared" si="20"/>
        <v>0</v>
      </c>
      <c r="U38" s="40">
        <f t="shared" si="21"/>
        <v>0.0137782332200614</v>
      </c>
      <c r="V38" s="40">
        <f t="shared" si="26"/>
        <v>0.115795789828176</v>
      </c>
      <c r="W38" s="40">
        <f t="shared" si="27"/>
        <v>0</v>
      </c>
      <c r="X38" s="40">
        <f>数据表!G8+数据表!F32</f>
        <v>2.25</v>
      </c>
      <c r="Y38" s="40">
        <f t="shared" si="22"/>
        <v>0.329798135586577</v>
      </c>
      <c r="Z38" s="115">
        <v>0</v>
      </c>
      <c r="AA38" s="115">
        <v>0</v>
      </c>
      <c r="AB38" s="40">
        <f t="shared" si="23"/>
        <v>0</v>
      </c>
      <c r="AC38" s="103">
        <f t="shared" si="24"/>
        <v>0</v>
      </c>
    </row>
    <row r="39" ht="15.6" spans="1:29">
      <c r="A39" s="32"/>
      <c r="B39" s="32"/>
      <c r="C39" s="32"/>
      <c r="D39" s="32"/>
      <c r="E39" s="32"/>
      <c r="F39" s="32"/>
      <c r="G39" s="41" t="s">
        <v>228</v>
      </c>
      <c r="H39" s="43">
        <v>4</v>
      </c>
      <c r="I39" s="40">
        <f>VLOOKUP(G39,G2:W27,17,0)</f>
        <v>0.0875948464677403</v>
      </c>
      <c r="J39" s="40">
        <f>数据表!T9</f>
        <v>10504.1454545455</v>
      </c>
      <c r="K39" s="40">
        <f t="shared" si="18"/>
        <v>920.109008365721</v>
      </c>
      <c r="L39" s="40">
        <f>数据表!R9</f>
        <v>6375</v>
      </c>
      <c r="M39" s="65">
        <f t="shared" si="19"/>
        <v>558.417146231844</v>
      </c>
      <c r="N39" s="84">
        <v>0</v>
      </c>
      <c r="O39" s="85">
        <v>0</v>
      </c>
      <c r="P39" s="86">
        <v>0.051</v>
      </c>
      <c r="Q39" s="40">
        <v>1.4</v>
      </c>
      <c r="R39" s="40">
        <f>数据表!P9*H39</f>
        <v>0</v>
      </c>
      <c r="S39" s="40">
        <f t="shared" si="25"/>
        <v>0</v>
      </c>
      <c r="T39" s="40">
        <f t="shared" si="20"/>
        <v>0</v>
      </c>
      <c r="U39" s="40">
        <f t="shared" si="21"/>
        <v>0.017869348679419</v>
      </c>
      <c r="V39" s="40">
        <f t="shared" si="26"/>
        <v>0.122632785054836</v>
      </c>
      <c r="W39" s="40">
        <f t="shared" si="27"/>
        <v>0</v>
      </c>
      <c r="X39" s="40">
        <f>数据表!G9+数据表!F32</f>
        <v>4.25</v>
      </c>
      <c r="Y39" s="40">
        <f t="shared" si="22"/>
        <v>0.372278097487896</v>
      </c>
      <c r="Z39" s="115">
        <v>0</v>
      </c>
      <c r="AA39" s="115">
        <v>0</v>
      </c>
      <c r="AB39" s="40">
        <f t="shared" si="23"/>
        <v>0</v>
      </c>
      <c r="AC39" s="103">
        <f t="shared" si="24"/>
        <v>0</v>
      </c>
    </row>
    <row r="40" ht="16.35" spans="1:29">
      <c r="A40" s="32"/>
      <c r="B40" s="32"/>
      <c r="C40" s="32"/>
      <c r="D40" s="32"/>
      <c r="E40" s="32"/>
      <c r="F40" s="32"/>
      <c r="G40" s="72" t="s">
        <v>230</v>
      </c>
      <c r="H40" s="73">
        <v>0.5</v>
      </c>
      <c r="I40" s="87">
        <f>VLOOKUP(G40,G2:W27,17,0)</f>
        <v>0.0472282473105929</v>
      </c>
      <c r="J40" s="87">
        <f>数据表!T10</f>
        <v>21008.2909090909</v>
      </c>
      <c r="K40" s="87">
        <f t="shared" si="18"/>
        <v>992.184758627426</v>
      </c>
      <c r="L40" s="87">
        <f>数据表!R10</f>
        <v>1125</v>
      </c>
      <c r="M40" s="88">
        <f t="shared" si="19"/>
        <v>53.131778224417</v>
      </c>
      <c r="N40" s="132">
        <v>0</v>
      </c>
      <c r="O40" s="133">
        <v>0</v>
      </c>
      <c r="P40" s="134">
        <v>0.816</v>
      </c>
      <c r="Q40" s="87">
        <v>3.4</v>
      </c>
      <c r="R40" s="87">
        <f>数据表!P10*H40</f>
        <v>0</v>
      </c>
      <c r="S40" s="87">
        <f t="shared" si="25"/>
        <v>0</v>
      </c>
      <c r="T40" s="87">
        <f t="shared" si="20"/>
        <v>0</v>
      </c>
      <c r="U40" s="87">
        <f t="shared" si="21"/>
        <v>0.0192691249027219</v>
      </c>
      <c r="V40" s="87">
        <f t="shared" si="26"/>
        <v>0.160576040856016</v>
      </c>
      <c r="W40" s="87">
        <f t="shared" si="27"/>
        <v>0</v>
      </c>
      <c r="X40" s="87">
        <f>数据表!G10+数据表!F32</f>
        <v>0.75</v>
      </c>
      <c r="Y40" s="87">
        <f t="shared" si="22"/>
        <v>0.0354211854829447</v>
      </c>
      <c r="Z40" s="141">
        <v>5000</v>
      </c>
      <c r="AA40" s="141">
        <v>0</v>
      </c>
      <c r="AB40" s="87">
        <f t="shared" si="23"/>
        <v>236.141236552965</v>
      </c>
      <c r="AC40" s="137">
        <f t="shared" si="24"/>
        <v>0</v>
      </c>
    </row>
    <row r="41" ht="15.6" spans="1:29">
      <c r="A41" s="32"/>
      <c r="B41" s="32"/>
      <c r="C41" s="32"/>
      <c r="D41" s="32"/>
      <c r="E41" s="32"/>
      <c r="F41" s="32"/>
      <c r="G41" s="33" t="s">
        <v>231</v>
      </c>
      <c r="H41" s="36">
        <v>2.5</v>
      </c>
      <c r="I41" s="34">
        <f>VLOOKUP(G41,G2:W27,17,0)</f>
        <v>0.0799664390424257</v>
      </c>
      <c r="J41" s="34">
        <f>数据表!T11</f>
        <v>3282.54545454545</v>
      </c>
      <c r="K41" s="34">
        <f t="shared" si="18"/>
        <v>262.493470994901</v>
      </c>
      <c r="L41" s="34">
        <f>数据表!R11</f>
        <v>4125</v>
      </c>
      <c r="M41" s="64">
        <f t="shared" si="19"/>
        <v>329.861561050006</v>
      </c>
      <c r="N41" s="123">
        <v>0.92</v>
      </c>
      <c r="O41" s="124">
        <v>0</v>
      </c>
      <c r="P41" s="125">
        <v>0.014</v>
      </c>
      <c r="Q41" s="34">
        <v>0.37</v>
      </c>
      <c r="R41" s="34">
        <f>数据表!P11*H41</f>
        <v>0</v>
      </c>
      <c r="S41" s="34">
        <f t="shared" si="25"/>
        <v>0.183922809797579</v>
      </c>
      <c r="T41" s="34">
        <f t="shared" si="20"/>
        <v>0</v>
      </c>
      <c r="U41" s="34">
        <f t="shared" si="21"/>
        <v>0.0027988253664849</v>
      </c>
      <c r="V41" s="34">
        <f t="shared" si="26"/>
        <v>0.0295875824456975</v>
      </c>
      <c r="W41" s="34">
        <f t="shared" si="27"/>
        <v>0</v>
      </c>
      <c r="X41" s="34">
        <f>数据表!G11+数据表!F32</f>
        <v>2.75</v>
      </c>
      <c r="Y41" s="34">
        <f t="shared" si="22"/>
        <v>0.219907707366671</v>
      </c>
      <c r="Z41" s="138">
        <v>3000</v>
      </c>
      <c r="AA41" s="138">
        <v>0</v>
      </c>
      <c r="AB41" s="34">
        <f t="shared" si="23"/>
        <v>239.899317127277</v>
      </c>
      <c r="AC41" s="102">
        <f t="shared" si="24"/>
        <v>0</v>
      </c>
    </row>
    <row r="42" ht="15.6" spans="1:29">
      <c r="A42" s="32"/>
      <c r="B42" s="32"/>
      <c r="C42" s="32"/>
      <c r="D42" s="32"/>
      <c r="E42" s="32"/>
      <c r="F42" s="32"/>
      <c r="G42" s="41" t="s">
        <v>232</v>
      </c>
      <c r="H42" s="43">
        <v>5</v>
      </c>
      <c r="I42" s="40">
        <f>VLOOKUP(G42,G2:W27,17,0)</f>
        <v>0.00106918642477453</v>
      </c>
      <c r="J42" s="40">
        <f>数据表!T12</f>
        <v>4988.18181818182</v>
      </c>
      <c r="K42" s="40">
        <f t="shared" si="18"/>
        <v>5.33329628430712</v>
      </c>
      <c r="L42" s="40">
        <f>数据表!R12</f>
        <v>7875</v>
      </c>
      <c r="M42" s="65">
        <f t="shared" si="19"/>
        <v>8.41984309509941</v>
      </c>
      <c r="N42" s="84">
        <v>0.75</v>
      </c>
      <c r="O42" s="85">
        <v>0</v>
      </c>
      <c r="P42" s="86">
        <v>0.01</v>
      </c>
      <c r="Q42" s="40">
        <v>0.66</v>
      </c>
      <c r="R42" s="40">
        <f>数据表!P12*H42</f>
        <v>0</v>
      </c>
      <c r="S42" s="40">
        <f t="shared" si="25"/>
        <v>0.00400944909290448</v>
      </c>
      <c r="T42" s="40">
        <f t="shared" si="20"/>
        <v>0</v>
      </c>
      <c r="U42" s="40">
        <f t="shared" si="21"/>
        <v>5.34593212387264e-5</v>
      </c>
      <c r="V42" s="40">
        <f t="shared" si="26"/>
        <v>0.000705663040351189</v>
      </c>
      <c r="W42" s="40">
        <f t="shared" si="27"/>
        <v>0</v>
      </c>
      <c r="X42" s="40">
        <f>数据表!G12+数据表!F32</f>
        <v>5.25</v>
      </c>
      <c r="Y42" s="40">
        <f t="shared" si="22"/>
        <v>0.00561322873006627</v>
      </c>
      <c r="Z42" s="115">
        <v>5000</v>
      </c>
      <c r="AA42" s="115">
        <v>0</v>
      </c>
      <c r="AB42" s="40">
        <f t="shared" si="23"/>
        <v>5.34593212387264</v>
      </c>
      <c r="AC42" s="103">
        <f t="shared" si="24"/>
        <v>0</v>
      </c>
    </row>
    <row r="43" ht="15.6" spans="1:29">
      <c r="A43" s="32"/>
      <c r="B43" s="32"/>
      <c r="C43" s="32"/>
      <c r="D43" s="32"/>
      <c r="E43" s="32"/>
      <c r="F43" s="32"/>
      <c r="G43" s="41" t="s">
        <v>233</v>
      </c>
      <c r="H43" s="43">
        <v>8</v>
      </c>
      <c r="I43" s="40">
        <f>VLOOKUP(G43,G2:W27,17,0)</f>
        <v>6.02427916084703e-5</v>
      </c>
      <c r="J43" s="40">
        <f>数据表!T13</f>
        <v>8393.01818181818</v>
      </c>
      <c r="K43" s="40">
        <f t="shared" si="18"/>
        <v>0.505618845293375</v>
      </c>
      <c r="L43" s="40">
        <f>数据表!R13</f>
        <v>12375</v>
      </c>
      <c r="M43" s="65">
        <f t="shared" si="19"/>
        <v>0.74550454615482</v>
      </c>
      <c r="N43" s="84">
        <v>0.75</v>
      </c>
      <c r="O43" s="85">
        <v>0</v>
      </c>
      <c r="P43" s="86">
        <v>0.011</v>
      </c>
      <c r="Q43" s="40">
        <v>0.9</v>
      </c>
      <c r="R43" s="40">
        <f>数据表!P13*H43</f>
        <v>0</v>
      </c>
      <c r="S43" s="40">
        <f t="shared" si="25"/>
        <v>0.000361456749650822</v>
      </c>
      <c r="T43" s="40">
        <f t="shared" si="20"/>
        <v>0</v>
      </c>
      <c r="U43" s="40">
        <f t="shared" si="21"/>
        <v>5.30136566154539e-6</v>
      </c>
      <c r="V43" s="40">
        <f t="shared" si="26"/>
        <v>5.42185124476233e-5</v>
      </c>
      <c r="W43" s="40">
        <f t="shared" si="27"/>
        <v>0</v>
      </c>
      <c r="X43" s="40">
        <f>数据表!G13+数据表!F32</f>
        <v>8.25</v>
      </c>
      <c r="Y43" s="40">
        <f t="shared" si="22"/>
        <v>0.00049700303076988</v>
      </c>
      <c r="Z43" s="115">
        <v>8000</v>
      </c>
      <c r="AA43" s="115">
        <v>0</v>
      </c>
      <c r="AB43" s="40">
        <f t="shared" si="23"/>
        <v>0.481942332867763</v>
      </c>
      <c r="AC43" s="103">
        <f t="shared" si="24"/>
        <v>0</v>
      </c>
    </row>
    <row r="44" ht="16.35" spans="1:29">
      <c r="A44" s="32"/>
      <c r="B44" s="32"/>
      <c r="C44" s="32"/>
      <c r="D44" s="32"/>
      <c r="E44" s="32"/>
      <c r="F44" s="32"/>
      <c r="G44" s="47" t="s">
        <v>235</v>
      </c>
      <c r="H44" s="49">
        <v>0.5</v>
      </c>
      <c r="I44" s="53">
        <f>VLOOKUP(G44,G2:W27,17,0)</f>
        <v>0.00816309034288031</v>
      </c>
      <c r="J44" s="53">
        <f>数据表!T14</f>
        <v>12103.5818181818</v>
      </c>
      <c r="K44" s="53">
        <f t="shared" si="18"/>
        <v>98.8026318542616</v>
      </c>
      <c r="L44" s="53">
        <f>数据表!R14</f>
        <v>5125</v>
      </c>
      <c r="M44" s="126">
        <f t="shared" si="19"/>
        <v>41.8358380072616</v>
      </c>
      <c r="N44" s="91">
        <v>17.61</v>
      </c>
      <c r="O44" s="92">
        <v>0</v>
      </c>
      <c r="P44" s="93">
        <v>0.25</v>
      </c>
      <c r="Q44" s="53">
        <v>1.39</v>
      </c>
      <c r="R44" s="53">
        <f>数据表!P14*H44</f>
        <v>0</v>
      </c>
      <c r="S44" s="53">
        <f t="shared" si="25"/>
        <v>0.0718760104690611</v>
      </c>
      <c r="T44" s="53">
        <f t="shared" si="20"/>
        <v>0</v>
      </c>
      <c r="U44" s="53">
        <f t="shared" si="21"/>
        <v>0.00102038629286004</v>
      </c>
      <c r="V44" s="53">
        <f t="shared" si="26"/>
        <v>0.0113466955766036</v>
      </c>
      <c r="W44" s="53">
        <f t="shared" si="27"/>
        <v>0</v>
      </c>
      <c r="X44" s="53">
        <f>数据表!G14+数据表!F32</f>
        <v>0.75</v>
      </c>
      <c r="Y44" s="53">
        <f t="shared" si="22"/>
        <v>0.00612231775716023</v>
      </c>
      <c r="Z44" s="116">
        <v>5000</v>
      </c>
      <c r="AA44" s="116">
        <v>5</v>
      </c>
      <c r="AB44" s="53">
        <f t="shared" si="23"/>
        <v>40.8154517144015</v>
      </c>
      <c r="AC44" s="104">
        <f t="shared" si="24"/>
        <v>0.0408154517144015</v>
      </c>
    </row>
    <row r="45" ht="15.6" spans="1:29">
      <c r="A45" s="32"/>
      <c r="B45" s="32"/>
      <c r="C45" s="32"/>
      <c r="D45" s="32"/>
      <c r="E45" s="32"/>
      <c r="F45" s="32"/>
      <c r="G45" s="119" t="s">
        <v>236</v>
      </c>
      <c r="H45" s="120">
        <v>2.5</v>
      </c>
      <c r="I45" s="127">
        <f>VLOOKUP(G45,G2:W27,17,0)</f>
        <v>0.0703709814606807</v>
      </c>
      <c r="J45" s="127">
        <f>数据表!T15</f>
        <v>3765.27272727273</v>
      </c>
      <c r="K45" s="127">
        <f t="shared" si="18"/>
        <v>264.965937285316</v>
      </c>
      <c r="L45" s="127">
        <f>数据表!R15</f>
        <v>4125</v>
      </c>
      <c r="M45" s="128">
        <f t="shared" si="19"/>
        <v>290.280298525308</v>
      </c>
      <c r="N45" s="129">
        <v>0</v>
      </c>
      <c r="O45" s="130">
        <v>0.61</v>
      </c>
      <c r="P45" s="131">
        <v>0.014</v>
      </c>
      <c r="Q45" s="127">
        <v>0.39</v>
      </c>
      <c r="R45" s="127">
        <f>数据表!P15*H45</f>
        <v>0</v>
      </c>
      <c r="S45" s="127">
        <f t="shared" si="25"/>
        <v>0</v>
      </c>
      <c r="T45" s="127">
        <f t="shared" si="20"/>
        <v>0.107315746727538</v>
      </c>
      <c r="U45" s="127">
        <f t="shared" si="21"/>
        <v>0.00246298435112383</v>
      </c>
      <c r="V45" s="127">
        <f t="shared" si="26"/>
        <v>0.0274446827696655</v>
      </c>
      <c r="W45" s="127">
        <f t="shared" si="27"/>
        <v>0</v>
      </c>
      <c r="X45" s="127">
        <f>数据表!G15+数据表!F32</f>
        <v>2.75</v>
      </c>
      <c r="Y45" s="127">
        <f t="shared" si="22"/>
        <v>0.193520199016872</v>
      </c>
      <c r="Z45" s="139">
        <v>3000</v>
      </c>
      <c r="AA45" s="139">
        <v>0</v>
      </c>
      <c r="AB45" s="127">
        <f t="shared" si="23"/>
        <v>211.112944382042</v>
      </c>
      <c r="AC45" s="140">
        <f t="shared" si="24"/>
        <v>0</v>
      </c>
    </row>
    <row r="46" ht="15.6" spans="1:29">
      <c r="A46" s="32"/>
      <c r="B46" s="32"/>
      <c r="C46" s="32"/>
      <c r="D46" s="32"/>
      <c r="E46" s="32"/>
      <c r="F46" s="32"/>
      <c r="G46" s="41" t="s">
        <v>237</v>
      </c>
      <c r="H46" s="43">
        <v>5</v>
      </c>
      <c r="I46" s="40">
        <f>VLOOKUP(G46,G2:W27,17,0)</f>
        <v>0.00104953390300401</v>
      </c>
      <c r="J46" s="40">
        <f>数据表!T16</f>
        <v>5857.09090909091</v>
      </c>
      <c r="K46" s="40">
        <f t="shared" si="18"/>
        <v>6.1472154820675</v>
      </c>
      <c r="L46" s="40">
        <f>数据表!R16</f>
        <v>7875</v>
      </c>
      <c r="M46" s="65">
        <f t="shared" si="19"/>
        <v>8.26507948615659</v>
      </c>
      <c r="N46" s="84">
        <v>0</v>
      </c>
      <c r="O46" s="85">
        <v>0.51</v>
      </c>
      <c r="P46" s="86">
        <v>0.01</v>
      </c>
      <c r="Q46" s="40">
        <v>0.55</v>
      </c>
      <c r="R46" s="40">
        <f>数据表!P16*H46</f>
        <v>0</v>
      </c>
      <c r="S46" s="40">
        <f t="shared" si="25"/>
        <v>0</v>
      </c>
      <c r="T46" s="40">
        <f t="shared" si="20"/>
        <v>0.00267631145266023</v>
      </c>
      <c r="U46" s="40">
        <f t="shared" si="21"/>
        <v>5.24766951502006e-5</v>
      </c>
      <c r="V46" s="40">
        <f t="shared" si="26"/>
        <v>0.000577243646652206</v>
      </c>
      <c r="W46" s="40">
        <f t="shared" si="27"/>
        <v>0</v>
      </c>
      <c r="X46" s="40">
        <f>数据表!G16+数据表!F32</f>
        <v>5.25</v>
      </c>
      <c r="Y46" s="40">
        <f t="shared" si="22"/>
        <v>0.00551005299077106</v>
      </c>
      <c r="Z46" s="115">
        <v>5000</v>
      </c>
      <c r="AA46" s="115">
        <v>0</v>
      </c>
      <c r="AB46" s="40">
        <f t="shared" si="23"/>
        <v>5.24766951502006</v>
      </c>
      <c r="AC46" s="103">
        <f t="shared" si="24"/>
        <v>0</v>
      </c>
    </row>
    <row r="47" ht="15.6" spans="1:29">
      <c r="A47" s="32"/>
      <c r="B47" s="32"/>
      <c r="C47" s="32"/>
      <c r="D47" s="32"/>
      <c r="E47" s="32"/>
      <c r="F47" s="32"/>
      <c r="G47" s="41" t="s">
        <v>238</v>
      </c>
      <c r="H47" s="43">
        <v>8</v>
      </c>
      <c r="I47" s="40">
        <f>VLOOKUP(G47,G2:W27,17,0)</f>
        <v>4.74691584425789e-5</v>
      </c>
      <c r="J47" s="40">
        <f>数据表!T17</f>
        <v>9783.27272727273</v>
      </c>
      <c r="K47" s="40">
        <f t="shared" si="18"/>
        <v>0.46440372317787</v>
      </c>
      <c r="L47" s="40">
        <f>数据表!R17</f>
        <v>12375</v>
      </c>
      <c r="M47" s="65">
        <f t="shared" si="19"/>
        <v>0.587430835726914</v>
      </c>
      <c r="N47" s="84">
        <v>0</v>
      </c>
      <c r="O47" s="85">
        <v>0.51</v>
      </c>
      <c r="P47" s="86">
        <v>0.011</v>
      </c>
      <c r="Q47" s="40">
        <v>1.05</v>
      </c>
      <c r="R47" s="40">
        <f>数据表!P17*H47</f>
        <v>0</v>
      </c>
      <c r="S47" s="40">
        <f t="shared" si="25"/>
        <v>0</v>
      </c>
      <c r="T47" s="40">
        <f t="shared" si="20"/>
        <v>0.000193674166445722</v>
      </c>
      <c r="U47" s="40">
        <f t="shared" si="21"/>
        <v>4.17728594294695e-6</v>
      </c>
      <c r="V47" s="40">
        <f t="shared" si="26"/>
        <v>4.98426163647079e-5</v>
      </c>
      <c r="W47" s="40">
        <f t="shared" si="27"/>
        <v>0</v>
      </c>
      <c r="X47" s="40">
        <f>数据表!G17+数据表!F32</f>
        <v>8.25</v>
      </c>
      <c r="Y47" s="40">
        <f t="shared" si="22"/>
        <v>0.000391620557151276</v>
      </c>
      <c r="Z47" s="115">
        <v>8000</v>
      </c>
      <c r="AA47" s="115">
        <v>0</v>
      </c>
      <c r="AB47" s="40">
        <f t="shared" si="23"/>
        <v>0.379753267540631</v>
      </c>
      <c r="AC47" s="103">
        <f t="shared" si="24"/>
        <v>0</v>
      </c>
    </row>
    <row r="48" ht="16.35" spans="1:29">
      <c r="A48" s="32"/>
      <c r="B48" s="32"/>
      <c r="C48" s="32"/>
      <c r="D48" s="32"/>
      <c r="E48" s="32"/>
      <c r="F48" s="32"/>
      <c r="G48" s="72" t="s">
        <v>240</v>
      </c>
      <c r="H48" s="73">
        <v>0.5</v>
      </c>
      <c r="I48" s="87">
        <f>VLOOKUP(G48,G2:W27,17,0)</f>
        <v>0.00546823093111284</v>
      </c>
      <c r="J48" s="87">
        <f>数据表!T18</f>
        <v>14011.9636363636</v>
      </c>
      <c r="K48" s="87">
        <f t="shared" si="18"/>
        <v>76.6206529619919</v>
      </c>
      <c r="L48" s="87">
        <f>数据表!R18</f>
        <v>5125</v>
      </c>
      <c r="M48" s="88">
        <f t="shared" si="19"/>
        <v>28.0246835219533</v>
      </c>
      <c r="N48" s="132">
        <v>0</v>
      </c>
      <c r="O48" s="133">
        <v>11.77</v>
      </c>
      <c r="P48" s="134">
        <v>0.25</v>
      </c>
      <c r="Q48" s="87">
        <v>1.38</v>
      </c>
      <c r="R48" s="87">
        <f>数据表!P18*H48</f>
        <v>0</v>
      </c>
      <c r="S48" s="87">
        <f t="shared" si="25"/>
        <v>0</v>
      </c>
      <c r="T48" s="87">
        <f t="shared" si="20"/>
        <v>0.032180539029599</v>
      </c>
      <c r="U48" s="87">
        <f t="shared" si="21"/>
        <v>0.000683528866389105</v>
      </c>
      <c r="V48" s="87">
        <f t="shared" si="26"/>
        <v>0.00754615868493571</v>
      </c>
      <c r="W48" s="87">
        <f t="shared" si="27"/>
        <v>0</v>
      </c>
      <c r="X48" s="87">
        <f>数据表!G18+数据表!F32</f>
        <v>0.75</v>
      </c>
      <c r="Y48" s="87">
        <f t="shared" si="22"/>
        <v>0.00410117319833463</v>
      </c>
      <c r="Z48" s="141">
        <v>5000</v>
      </c>
      <c r="AA48" s="141">
        <v>5</v>
      </c>
      <c r="AB48" s="87">
        <f t="shared" si="23"/>
        <v>27.3411546555642</v>
      </c>
      <c r="AC48" s="137">
        <f t="shared" si="24"/>
        <v>0.0273411546555642</v>
      </c>
    </row>
    <row r="49" ht="15.6" spans="1:29">
      <c r="A49" s="32"/>
      <c r="B49" s="32"/>
      <c r="C49" s="32"/>
      <c r="D49" s="32"/>
      <c r="E49" s="32"/>
      <c r="F49" s="32"/>
      <c r="G49" s="33" t="s">
        <v>241</v>
      </c>
      <c r="H49" s="36">
        <v>1.5</v>
      </c>
      <c r="I49" s="34">
        <f>VLOOKUP(G49,G2:W27,17,0)</f>
        <v>0.165401115136576</v>
      </c>
      <c r="J49" s="34">
        <f>数据表!T19</f>
        <v>2085.38181818182</v>
      </c>
      <c r="K49" s="34">
        <f t="shared" si="18"/>
        <v>344.924478212814</v>
      </c>
      <c r="L49" s="34">
        <f>数据表!R19</f>
        <v>2625</v>
      </c>
      <c r="M49" s="64">
        <f t="shared" si="19"/>
        <v>434.177927233513</v>
      </c>
      <c r="N49" s="123">
        <v>0.58</v>
      </c>
      <c r="O49" s="124">
        <v>0.15</v>
      </c>
      <c r="P49" s="125">
        <v>0.016</v>
      </c>
      <c r="Q49" s="34">
        <v>0.27</v>
      </c>
      <c r="R49" s="34">
        <f>数据表!P19*H49</f>
        <v>0</v>
      </c>
      <c r="S49" s="34">
        <f t="shared" si="25"/>
        <v>0.143898970168822</v>
      </c>
      <c r="T49" s="34">
        <f t="shared" si="20"/>
        <v>0.0372152509057297</v>
      </c>
      <c r="U49" s="34">
        <f t="shared" si="21"/>
        <v>0.00396962676327784</v>
      </c>
      <c r="V49" s="34">
        <f t="shared" si="26"/>
        <v>0.0446583010868757</v>
      </c>
      <c r="W49" s="34">
        <f t="shared" si="27"/>
        <v>0</v>
      </c>
      <c r="X49" s="34">
        <f>数据表!G19+数据表!F32</f>
        <v>1.75</v>
      </c>
      <c r="Y49" s="34">
        <f t="shared" si="22"/>
        <v>0.289451951489009</v>
      </c>
      <c r="Z49" s="138">
        <v>1500</v>
      </c>
      <c r="AA49" s="138">
        <v>0</v>
      </c>
      <c r="AB49" s="34">
        <f t="shared" si="23"/>
        <v>248.101672704865</v>
      </c>
      <c r="AC49" s="102">
        <f t="shared" si="24"/>
        <v>0</v>
      </c>
    </row>
    <row r="50" ht="16.35" spans="1:29">
      <c r="A50" s="32"/>
      <c r="B50" s="32"/>
      <c r="C50" s="32"/>
      <c r="D50" s="32"/>
      <c r="E50" s="32"/>
      <c r="F50" s="32"/>
      <c r="G50" s="63" t="s">
        <v>242</v>
      </c>
      <c r="H50" s="43">
        <v>2.5</v>
      </c>
      <c r="I50" s="40">
        <f>VLOOKUP(G50,G2:W27,17,0)</f>
        <v>0.00349427926734328</v>
      </c>
      <c r="J50" s="40">
        <f>数据表!T20</f>
        <v>2848.09090909091</v>
      </c>
      <c r="K50" s="40">
        <f t="shared" si="18"/>
        <v>9.95202501514524</v>
      </c>
      <c r="L50" s="40">
        <f>数据表!R20</f>
        <v>4125</v>
      </c>
      <c r="M50" s="65">
        <f t="shared" si="19"/>
        <v>14.413901977791</v>
      </c>
      <c r="N50" s="84">
        <v>0.45</v>
      </c>
      <c r="O50" s="85">
        <v>0.1</v>
      </c>
      <c r="P50" s="86">
        <v>0.014</v>
      </c>
      <c r="Q50" s="40">
        <v>0.39</v>
      </c>
      <c r="R50" s="40">
        <f>数据表!P20*H50</f>
        <v>0</v>
      </c>
      <c r="S50" s="40">
        <f t="shared" si="25"/>
        <v>0.00393106417576119</v>
      </c>
      <c r="T50" s="40">
        <f t="shared" si="20"/>
        <v>0.00087356981683582</v>
      </c>
      <c r="U50" s="40">
        <f t="shared" si="21"/>
        <v>0.000122299774357015</v>
      </c>
      <c r="V50" s="40">
        <f t="shared" si="26"/>
        <v>0.00136276891426388</v>
      </c>
      <c r="W50" s="40">
        <f t="shared" si="27"/>
        <v>0</v>
      </c>
      <c r="X50" s="40">
        <f>数据表!G20+数据表!F32</f>
        <v>2.75</v>
      </c>
      <c r="Y50" s="40">
        <f t="shared" si="22"/>
        <v>0.00960926798519402</v>
      </c>
      <c r="Z50" s="115">
        <v>3000</v>
      </c>
      <c r="AA50" s="115">
        <v>0</v>
      </c>
      <c r="AB50" s="40">
        <f t="shared" si="23"/>
        <v>10.4828378020298</v>
      </c>
      <c r="AC50" s="103">
        <f t="shared" si="24"/>
        <v>0</v>
      </c>
    </row>
    <row r="51" ht="16.35" spans="1:29">
      <c r="A51" s="33"/>
      <c r="B51" s="34" t="s">
        <v>304</v>
      </c>
      <c r="C51" s="34" t="s">
        <v>329</v>
      </c>
      <c r="D51" s="34" t="s">
        <v>89</v>
      </c>
      <c r="E51" s="34" t="s">
        <v>93</v>
      </c>
      <c r="F51" s="64" t="s">
        <v>97</v>
      </c>
      <c r="G51" s="47" t="s">
        <v>243</v>
      </c>
      <c r="H51" s="49">
        <v>4</v>
      </c>
      <c r="I51" s="53">
        <f>VLOOKUP(G51,G2:W27,17,0)</f>
        <v>0.110465493201321</v>
      </c>
      <c r="J51" s="53">
        <f>数据表!T21</f>
        <v>7414.69090909091</v>
      </c>
      <c r="K51" s="53">
        <f t="shared" si="18"/>
        <v>819.067488208078</v>
      </c>
      <c r="L51" s="53">
        <f>数据表!R21</f>
        <v>6375</v>
      </c>
      <c r="M51" s="126">
        <f t="shared" si="19"/>
        <v>704.217519158421</v>
      </c>
      <c r="N51" s="91">
        <v>0.52</v>
      </c>
      <c r="O51" s="92">
        <v>0.14</v>
      </c>
      <c r="P51" s="93">
        <v>0.026</v>
      </c>
      <c r="Q51" s="53">
        <v>1.15</v>
      </c>
      <c r="R51" s="53">
        <f>数据表!P21*H51</f>
        <v>0</v>
      </c>
      <c r="S51" s="53">
        <f t="shared" si="25"/>
        <v>0.229768225858748</v>
      </c>
      <c r="T51" s="53">
        <f t="shared" si="20"/>
        <v>0.0618606761927397</v>
      </c>
      <c r="U51" s="53">
        <f t="shared" si="21"/>
        <v>0.0114884112929374</v>
      </c>
      <c r="V51" s="53">
        <f t="shared" si="26"/>
        <v>0.127035317181519</v>
      </c>
      <c r="W51" s="53">
        <f t="shared" si="27"/>
        <v>0</v>
      </c>
      <c r="X51" s="53">
        <f>数据表!G21+数据表!F32</f>
        <v>4.25</v>
      </c>
      <c r="Y51" s="53">
        <f t="shared" si="22"/>
        <v>0.469478346105614</v>
      </c>
      <c r="Z51" s="116">
        <v>6000</v>
      </c>
      <c r="AA51" s="116">
        <v>0</v>
      </c>
      <c r="AB51" s="53">
        <f t="shared" si="23"/>
        <v>662.792959207926</v>
      </c>
      <c r="AC51" s="104">
        <f t="shared" si="24"/>
        <v>0</v>
      </c>
    </row>
    <row r="52" ht="15.6" spans="1:29">
      <c r="A52" s="41" t="s">
        <v>223</v>
      </c>
      <c r="B52" s="40">
        <f>SUM(Y33:Y36)*R29+夜晚模拟!B52</f>
        <v>0.155473319636351</v>
      </c>
      <c r="C52" s="40">
        <f>SUM(AC33:AC36)*R29+夜晚模拟!C52</f>
        <v>0.482900814008521</v>
      </c>
      <c r="D52" s="40">
        <v>0</v>
      </c>
      <c r="E52" s="40">
        <f>SUM(T33:T36)</f>
        <v>0.0137294328220413</v>
      </c>
      <c r="F52" s="65">
        <f>SUM(S33:S36)*R29+夜晚模拟!F52</f>
        <v>0.439222387786594</v>
      </c>
      <c r="G52" s="119" t="s">
        <v>245</v>
      </c>
      <c r="H52" s="120">
        <v>2</v>
      </c>
      <c r="I52" s="127">
        <f>VLOOKUP(G52,G2:W27,17,0)</f>
        <v>0.00139978098159975</v>
      </c>
      <c r="J52" s="127">
        <f>数据表!T22</f>
        <v>1853.67272727273</v>
      </c>
      <c r="K52" s="127">
        <f t="shared" si="18"/>
        <v>2.5947358297465</v>
      </c>
      <c r="L52" s="127">
        <f>数据表!R22</f>
        <v>3375</v>
      </c>
      <c r="M52" s="128">
        <f t="shared" si="19"/>
        <v>4.72426081289914</v>
      </c>
      <c r="N52" s="129">
        <v>0</v>
      </c>
      <c r="O52" s="130">
        <v>0</v>
      </c>
      <c r="P52" s="131">
        <v>0.018</v>
      </c>
      <c r="Q52" s="136">
        <v>0.4</v>
      </c>
      <c r="R52" s="127">
        <f>数据表!P22*H52</f>
        <v>0</v>
      </c>
      <c r="S52" s="127">
        <f t="shared" si="25"/>
        <v>0</v>
      </c>
      <c r="T52" s="127">
        <f t="shared" si="20"/>
        <v>0</v>
      </c>
      <c r="U52" s="127">
        <f t="shared" si="21"/>
        <v>5.03921153375909e-5</v>
      </c>
      <c r="V52" s="127">
        <f t="shared" si="26"/>
        <v>0.000559912392639898</v>
      </c>
      <c r="W52" s="127">
        <f t="shared" si="27"/>
        <v>0</v>
      </c>
      <c r="X52" s="127">
        <f>数据表!G22+数据表!F32</f>
        <v>2.25</v>
      </c>
      <c r="Y52" s="127">
        <f t="shared" si="22"/>
        <v>0.00314950720859943</v>
      </c>
      <c r="Z52" s="139">
        <v>0</v>
      </c>
      <c r="AA52" s="139">
        <v>0</v>
      </c>
      <c r="AB52" s="127">
        <f t="shared" si="23"/>
        <v>0</v>
      </c>
      <c r="AC52" s="140">
        <f t="shared" si="24"/>
        <v>0</v>
      </c>
    </row>
    <row r="53" ht="15.6" spans="1:29">
      <c r="A53" s="41" t="s">
        <v>229</v>
      </c>
      <c r="B53" s="40">
        <f>SUM(Y37:Y40)*R29+夜晚模拟!B53</f>
        <v>7.89109821386057</v>
      </c>
      <c r="C53" s="40">
        <v>0</v>
      </c>
      <c r="D53" s="40">
        <f>SUM(U37:U40)*R29+夜晚模拟!D53</f>
        <v>0.491135460159869</v>
      </c>
      <c r="E53" s="40">
        <v>0</v>
      </c>
      <c r="F53" s="65">
        <v>0</v>
      </c>
      <c r="G53" s="41" t="s">
        <v>246</v>
      </c>
      <c r="H53" s="43">
        <v>2</v>
      </c>
      <c r="I53" s="40">
        <f>VLOOKUP(G53,G2:W27,17,0)</f>
        <v>0.0108226956641477</v>
      </c>
      <c r="J53" s="40">
        <f>数据表!T23</f>
        <v>2162.61818181818</v>
      </c>
      <c r="K53" s="40">
        <f t="shared" si="18"/>
        <v>23.4053584195706</v>
      </c>
      <c r="L53" s="40">
        <f>数据表!R23</f>
        <v>3375</v>
      </c>
      <c r="M53" s="65">
        <f t="shared" si="19"/>
        <v>36.5265978664984</v>
      </c>
      <c r="N53" s="84">
        <v>0</v>
      </c>
      <c r="O53" s="85">
        <v>0</v>
      </c>
      <c r="P53" s="86">
        <v>0.021</v>
      </c>
      <c r="Q53" s="40">
        <v>0.46</v>
      </c>
      <c r="R53" s="40">
        <f>数据表!P23*H53</f>
        <v>0</v>
      </c>
      <c r="S53" s="40">
        <f t="shared" si="25"/>
        <v>0</v>
      </c>
      <c r="T53" s="40">
        <f t="shared" si="20"/>
        <v>0</v>
      </c>
      <c r="U53" s="40">
        <f t="shared" si="21"/>
        <v>0.000454553217894202</v>
      </c>
      <c r="V53" s="40">
        <f t="shared" si="26"/>
        <v>0.00497844000550793</v>
      </c>
      <c r="W53" s="40">
        <f t="shared" si="27"/>
        <v>0</v>
      </c>
      <c r="X53" s="40">
        <f>数据表!G23+数据表!F32</f>
        <v>2.25</v>
      </c>
      <c r="Y53" s="40">
        <f t="shared" si="22"/>
        <v>0.0243510652443323</v>
      </c>
      <c r="Z53" s="115">
        <v>0</v>
      </c>
      <c r="AA53" s="115">
        <v>0</v>
      </c>
      <c r="AB53" s="40">
        <f t="shared" si="23"/>
        <v>0</v>
      </c>
      <c r="AC53" s="103">
        <f t="shared" si="24"/>
        <v>0</v>
      </c>
    </row>
    <row r="54" ht="15.6" spans="1:29">
      <c r="A54" s="66" t="s">
        <v>234</v>
      </c>
      <c r="B54" s="67">
        <f>SUM(Y41:Y44)*R29+夜晚模拟!B54</f>
        <v>2.66414580429378</v>
      </c>
      <c r="C54" s="67">
        <f>SUM(AC44)*R29+夜晚模拟!C54</f>
        <v>0.32574952990727</v>
      </c>
      <c r="D54" s="67">
        <f>SUM(U41:U44)*R29+夜晚模拟!D54</f>
        <v>0.0385887919790759</v>
      </c>
      <c r="E54" s="67">
        <v>0</v>
      </c>
      <c r="F54" s="68">
        <f>SUM(S41:S44)*R29+夜晚模拟!F54</f>
        <v>2.64143840132619</v>
      </c>
      <c r="G54" s="41" t="s">
        <v>247</v>
      </c>
      <c r="H54" s="43">
        <v>4</v>
      </c>
      <c r="I54" s="40">
        <f>VLOOKUP(G54,G2:W27,17,0)</f>
        <v>0.000782268835581004</v>
      </c>
      <c r="J54" s="40">
        <f>数据表!T24</f>
        <v>6050.18181818182</v>
      </c>
      <c r="K54" s="40">
        <f t="shared" si="18"/>
        <v>4.73286868596246</v>
      </c>
      <c r="L54" s="40">
        <f>数据表!R24</f>
        <v>6375</v>
      </c>
      <c r="M54" s="65">
        <f t="shared" si="19"/>
        <v>4.9869638268289</v>
      </c>
      <c r="N54" s="84">
        <v>0.33</v>
      </c>
      <c r="O54" s="85">
        <v>0.09</v>
      </c>
      <c r="P54" s="86">
        <v>0.023</v>
      </c>
      <c r="Q54" s="40">
        <v>1</v>
      </c>
      <c r="R54" s="40">
        <f>数据表!P24*H54</f>
        <v>0</v>
      </c>
      <c r="S54" s="40">
        <f t="shared" si="25"/>
        <v>0.00103259486296693</v>
      </c>
      <c r="T54" s="40">
        <f t="shared" si="20"/>
        <v>0.000281616780809162</v>
      </c>
      <c r="U54" s="40">
        <f t="shared" si="21"/>
        <v>7.19687328734524e-5</v>
      </c>
      <c r="V54" s="40">
        <f t="shared" si="26"/>
        <v>0.000782268835581004</v>
      </c>
      <c r="W54" s="40">
        <f t="shared" si="27"/>
        <v>0</v>
      </c>
      <c r="X54" s="40">
        <f>数据表!G24+数据表!F32</f>
        <v>4.25</v>
      </c>
      <c r="Y54" s="40">
        <f t="shared" si="22"/>
        <v>0.00332464255121927</v>
      </c>
      <c r="Z54" s="115">
        <v>0</v>
      </c>
      <c r="AA54" s="115">
        <v>0</v>
      </c>
      <c r="AB54" s="40">
        <f t="shared" si="23"/>
        <v>0</v>
      </c>
      <c r="AC54" s="103">
        <f t="shared" si="24"/>
        <v>0</v>
      </c>
    </row>
    <row r="55" ht="15.6" spans="1:29">
      <c r="A55" s="66" t="s">
        <v>239</v>
      </c>
      <c r="B55" s="67">
        <f>SUM(Y45:Y48)*R29+夜晚模拟!B55</f>
        <v>2.43012082691855</v>
      </c>
      <c r="C55" s="67">
        <f>SUM(AC48)*R29+夜晚模拟!C55</f>
        <v>0.220060766760709</v>
      </c>
      <c r="D55" s="67">
        <f>SUM(U45:U48)*R29+夜晚模拟!D55</f>
        <v>0.0337045528694194</v>
      </c>
      <c r="E55" s="67">
        <f>SUM(T45:T48)</f>
        <v>0.142366271376243</v>
      </c>
      <c r="F55" s="68">
        <v>0</v>
      </c>
      <c r="G55" s="41" t="s">
        <v>249</v>
      </c>
      <c r="H55" s="43">
        <v>6</v>
      </c>
      <c r="I55" s="40">
        <f>VLOOKUP(G55,G2:W27,17,0)</f>
        <v>0.000140187880046161</v>
      </c>
      <c r="J55" s="40">
        <f>数据表!T25</f>
        <v>3707.34545454545</v>
      </c>
      <c r="K55" s="40">
        <f t="shared" si="18"/>
        <v>0.519724899871497</v>
      </c>
      <c r="L55" s="40">
        <f>数据表!R25</f>
        <v>9375</v>
      </c>
      <c r="M55" s="65">
        <f t="shared" si="19"/>
        <v>1.31426137543276</v>
      </c>
      <c r="N55" s="84">
        <v>0</v>
      </c>
      <c r="O55" s="85">
        <v>0</v>
      </c>
      <c r="P55" s="86">
        <v>0.012</v>
      </c>
      <c r="Q55" s="40">
        <v>0.81</v>
      </c>
      <c r="R55" s="40">
        <f>数据表!P25*H55</f>
        <v>0</v>
      </c>
      <c r="S55" s="40">
        <f t="shared" si="25"/>
        <v>0</v>
      </c>
      <c r="T55" s="40">
        <f t="shared" si="20"/>
        <v>0</v>
      </c>
      <c r="U55" s="40">
        <f t="shared" si="21"/>
        <v>1.00935273633236e-5</v>
      </c>
      <c r="V55" s="40">
        <f t="shared" si="26"/>
        <v>0.00011355218283739</v>
      </c>
      <c r="W55" s="40">
        <f t="shared" si="27"/>
        <v>0</v>
      </c>
      <c r="X55" s="40">
        <f>数据表!G25+数据表!F32</f>
        <v>6.25</v>
      </c>
      <c r="Y55" s="40">
        <f t="shared" si="22"/>
        <v>0.000876174250288504</v>
      </c>
      <c r="Z55" s="115">
        <v>0</v>
      </c>
      <c r="AA55" s="115">
        <v>0</v>
      </c>
      <c r="AB55" s="40">
        <f t="shared" si="23"/>
        <v>0</v>
      </c>
      <c r="AC55" s="103">
        <f t="shared" si="24"/>
        <v>0</v>
      </c>
    </row>
    <row r="56" ht="15.6" spans="1:29">
      <c r="A56" s="66" t="s">
        <v>244</v>
      </c>
      <c r="B56" s="67">
        <f>SUM(Y49:Y51)*R29+夜晚模拟!B56</f>
        <v>6.11058253001835</v>
      </c>
      <c r="C56" s="67">
        <v>0</v>
      </c>
      <c r="D56" s="67">
        <f>SUM(U49:U51)*R29+夜晚模拟!E56</f>
        <v>0.207297977287047</v>
      </c>
      <c r="E56" s="67">
        <f>SUM(T49:T51)</f>
        <v>0.0999494969153053</v>
      </c>
      <c r="F56" s="68">
        <f>SUM(S49:S51)*R29+夜晚模拟!F56</f>
        <v>2.99797152846841</v>
      </c>
      <c r="G56" s="41" t="s">
        <v>250</v>
      </c>
      <c r="H56" s="43">
        <v>8</v>
      </c>
      <c r="I56" s="40">
        <f>VLOOKUP(G56,G2:W27,17,0)</f>
        <v>3.43874551077813e-5</v>
      </c>
      <c r="J56" s="40">
        <f>数据表!T26</f>
        <v>4994.61818181818</v>
      </c>
      <c r="K56" s="40">
        <f t="shared" si="18"/>
        <v>0.171752208507781</v>
      </c>
      <c r="L56" s="40">
        <f>数据表!R26</f>
        <v>12375</v>
      </c>
      <c r="M56" s="65">
        <f t="shared" si="19"/>
        <v>0.425544756958794</v>
      </c>
      <c r="N56" s="84">
        <v>0.07</v>
      </c>
      <c r="O56" s="85">
        <v>0.01</v>
      </c>
      <c r="P56" s="86">
        <v>0.011</v>
      </c>
      <c r="Q56" s="40">
        <v>0.98</v>
      </c>
      <c r="R56" s="40">
        <f>数据表!P26*H56</f>
        <v>0</v>
      </c>
      <c r="S56" s="40">
        <f t="shared" si="25"/>
        <v>1.92569748603575e-5</v>
      </c>
      <c r="T56" s="40">
        <f t="shared" si="20"/>
        <v>2.75099640862251e-6</v>
      </c>
      <c r="U56" s="40">
        <f t="shared" si="21"/>
        <v>3.02609604948476e-6</v>
      </c>
      <c r="V56" s="40">
        <f t="shared" si="26"/>
        <v>3.36997060056257e-5</v>
      </c>
      <c r="W56" s="40">
        <f t="shared" si="27"/>
        <v>0</v>
      </c>
      <c r="X56" s="40">
        <f>数据表!G26+数据表!F32</f>
        <v>8.25</v>
      </c>
      <c r="Y56" s="40">
        <f t="shared" si="22"/>
        <v>0.000283696504639196</v>
      </c>
      <c r="Z56" s="115">
        <v>0</v>
      </c>
      <c r="AA56" s="115">
        <v>0</v>
      </c>
      <c r="AB56" s="40">
        <f t="shared" si="23"/>
        <v>0</v>
      </c>
      <c r="AC56" s="103">
        <f t="shared" si="24"/>
        <v>0</v>
      </c>
    </row>
    <row r="57" ht="16.35" spans="1:29">
      <c r="A57" s="69" t="s">
        <v>330</v>
      </c>
      <c r="B57" s="70">
        <f>SUM(Y52:Y58)*R29+夜晚模拟!B57</f>
        <v>1.28673153108582</v>
      </c>
      <c r="C57" s="70">
        <v>0</v>
      </c>
      <c r="D57" s="70">
        <f>SUM(U52:U59)*R29+夜晚模拟!E57</f>
        <v>0.0236066882283274</v>
      </c>
      <c r="E57" s="70">
        <f>SUM(T52:T58)</f>
        <v>0.000284890976022878</v>
      </c>
      <c r="F57" s="71">
        <f>SUM(S52:S58)*R29+夜晚模拟!F57</f>
        <v>0.102282085231711</v>
      </c>
      <c r="G57" s="72" t="s">
        <v>252</v>
      </c>
      <c r="H57" s="73">
        <v>12</v>
      </c>
      <c r="I57" s="87">
        <f>VLOOKUP(G57,G2:W27,17,0)</f>
        <v>2.17999502122366e-6</v>
      </c>
      <c r="J57" s="87">
        <f>数据表!T27</f>
        <v>6410.61818181818</v>
      </c>
      <c r="K57" s="87">
        <f t="shared" si="18"/>
        <v>0.0139751157193295</v>
      </c>
      <c r="L57" s="87">
        <f>数据表!R27</f>
        <v>18375</v>
      </c>
      <c r="M57" s="88">
        <f t="shared" si="19"/>
        <v>0.0400574085149847</v>
      </c>
      <c r="N57" s="84">
        <v>0.07</v>
      </c>
      <c r="O57" s="85">
        <v>0.02</v>
      </c>
      <c r="P57" s="86">
        <v>0.009</v>
      </c>
      <c r="Q57" s="40">
        <v>1.14</v>
      </c>
      <c r="R57" s="40">
        <f>数据表!P27*H57</f>
        <v>0</v>
      </c>
      <c r="S57" s="40">
        <f t="shared" si="25"/>
        <v>1.83119581782787e-6</v>
      </c>
      <c r="T57" s="40">
        <f t="shared" si="20"/>
        <v>5.23198805093677e-7</v>
      </c>
      <c r="U57" s="40">
        <f t="shared" si="21"/>
        <v>2.35439462292155e-7</v>
      </c>
      <c r="V57" s="40">
        <f t="shared" si="26"/>
        <v>2.48519432419497e-6</v>
      </c>
      <c r="W57" s="40">
        <f t="shared" si="27"/>
        <v>0</v>
      </c>
      <c r="X57" s="40">
        <f>数据表!G27+数据表!F32</f>
        <v>12.25</v>
      </c>
      <c r="Y57" s="40">
        <f t="shared" si="22"/>
        <v>2.67049390099898e-5</v>
      </c>
      <c r="Z57" s="115">
        <v>0</v>
      </c>
      <c r="AA57" s="115">
        <v>0</v>
      </c>
      <c r="AB57" s="40">
        <f t="shared" si="23"/>
        <v>0</v>
      </c>
      <c r="AC57" s="103">
        <f t="shared" si="24"/>
        <v>0</v>
      </c>
    </row>
    <row r="58" ht="16.35" spans="1:29">
      <c r="A58" s="32"/>
      <c r="B58" s="32"/>
      <c r="C58" s="32"/>
      <c r="D58" s="32"/>
      <c r="E58" s="32"/>
      <c r="F58" s="32"/>
      <c r="G58" s="74" t="s">
        <v>254</v>
      </c>
      <c r="H58" s="75">
        <v>3</v>
      </c>
      <c r="I58" s="89">
        <f>VLOOKUP(G58,G2:W27,17,0)</f>
        <v>0.000834314023631193</v>
      </c>
      <c r="J58" s="89">
        <f>数据表!T28</f>
        <v>1699.2</v>
      </c>
      <c r="K58" s="89">
        <f t="shared" si="18"/>
        <v>1.41766638895412</v>
      </c>
      <c r="L58" s="89">
        <f>数据表!R28</f>
        <v>4875</v>
      </c>
      <c r="M58" s="90">
        <f t="shared" si="19"/>
        <v>4.06728086520207</v>
      </c>
      <c r="N58" s="91">
        <v>0</v>
      </c>
      <c r="O58" s="92">
        <v>0</v>
      </c>
      <c r="P58" s="93">
        <v>0.011</v>
      </c>
      <c r="Q58" s="53">
        <v>0.35</v>
      </c>
      <c r="R58" s="53">
        <f>数据表!P28*H58</f>
        <v>0</v>
      </c>
      <c r="S58" s="53">
        <f t="shared" si="25"/>
        <v>0</v>
      </c>
      <c r="T58" s="53">
        <f t="shared" si="20"/>
        <v>0</v>
      </c>
      <c r="U58" s="53">
        <f t="shared" si="21"/>
        <v>2.75323627798294e-5</v>
      </c>
      <c r="V58" s="53">
        <f t="shared" si="26"/>
        <v>0.000292009908270918</v>
      </c>
      <c r="W58" s="53">
        <f t="shared" si="27"/>
        <v>0</v>
      </c>
      <c r="X58" s="53">
        <f>数据表!G28+数据表!F32</f>
        <v>3.25</v>
      </c>
      <c r="Y58" s="53">
        <f t="shared" si="22"/>
        <v>0.00271152057680138</v>
      </c>
      <c r="Z58" s="116">
        <v>0</v>
      </c>
      <c r="AA58" s="116">
        <v>0</v>
      </c>
      <c r="AB58" s="53">
        <f t="shared" si="23"/>
        <v>0</v>
      </c>
      <c r="AC58" s="104">
        <f t="shared" si="24"/>
        <v>0</v>
      </c>
    </row>
    <row r="59" ht="15.6" spans="1:31">
      <c r="A59" s="32"/>
      <c r="B59" s="32"/>
      <c r="C59" s="32"/>
      <c r="D59" s="32"/>
      <c r="E59" s="32"/>
      <c r="F59" s="32"/>
      <c r="G59" s="54" t="s">
        <v>331</v>
      </c>
      <c r="H59" s="32" t="s">
        <v>332</v>
      </c>
      <c r="I59" s="32">
        <f t="shared" ref="I59:M59" si="28">SUM(I33:I58)</f>
        <v>0.99999889377352</v>
      </c>
      <c r="J59" s="32" t="s">
        <v>333</v>
      </c>
      <c r="K59" s="32">
        <f t="shared" si="28"/>
        <v>5257.86292614846</v>
      </c>
      <c r="L59" s="32" t="s">
        <v>334</v>
      </c>
      <c r="M59" s="32">
        <f t="shared" si="28"/>
        <v>3546.09827712024</v>
      </c>
      <c r="N59" s="94" t="s">
        <v>335</v>
      </c>
      <c r="O59" s="95"/>
      <c r="P59" s="96"/>
      <c r="R59" s="97"/>
      <c r="S59" s="62" t="s">
        <v>69</v>
      </c>
      <c r="T59" s="62" t="s">
        <v>74</v>
      </c>
      <c r="U59" s="62" t="s">
        <v>89</v>
      </c>
      <c r="V59" s="40" t="s">
        <v>328</v>
      </c>
      <c r="W59" s="40" t="s">
        <v>113</v>
      </c>
      <c r="X59" s="105">
        <f>SUM(Y33:Y58)</f>
        <v>2.29884398225764</v>
      </c>
      <c r="Y59" s="106"/>
      <c r="AA59" s="106"/>
      <c r="AB59" s="106"/>
      <c r="AC59" s="107"/>
      <c r="AD59" s="32"/>
      <c r="AE59" s="32"/>
    </row>
    <row r="60" ht="15.15" spans="1:31">
      <c r="A60" s="32"/>
      <c r="B60" s="32"/>
      <c r="C60" s="32"/>
      <c r="D60" s="32"/>
      <c r="E60" s="32"/>
      <c r="F60" s="32"/>
      <c r="G60" s="56"/>
      <c r="H60" s="57"/>
      <c r="I60" s="57"/>
      <c r="J60" s="57" t="s">
        <v>336</v>
      </c>
      <c r="K60" s="57">
        <f>K59/M59*100</f>
        <v>148.271776901184</v>
      </c>
      <c r="L60" s="57"/>
      <c r="M60" s="57"/>
      <c r="N60" s="97" t="s">
        <v>337</v>
      </c>
      <c r="O60" s="76">
        <f>R29+1</f>
        <v>7.96014307505893</v>
      </c>
      <c r="P60" s="98" t="s">
        <v>338</v>
      </c>
      <c r="R60" s="54" t="s">
        <v>339</v>
      </c>
      <c r="S60" s="32">
        <f>SUM(S33:S58)*R29</f>
        <v>4.8516396342493</v>
      </c>
      <c r="T60" s="32">
        <f>SUM(T33:T58)*R29</f>
        <v>1.78409411538673</v>
      </c>
      <c r="U60" s="32">
        <f>SUM(U33:U58)*R29</f>
        <v>0.603921895874884</v>
      </c>
      <c r="V60" s="32">
        <f>SUM(V33:V58)*R29</f>
        <v>5.30724237522826</v>
      </c>
      <c r="W60" s="32">
        <f>SUM(W33:W58)*R29</f>
        <v>6.64028392089809</v>
      </c>
      <c r="X60" s="56"/>
      <c r="Y60" s="57"/>
      <c r="AA60" s="57" t="s">
        <v>340</v>
      </c>
      <c r="AB60" s="57">
        <f>SUM(AB33:AB58)*R29</f>
        <v>11990.9470555465</v>
      </c>
      <c r="AC60" s="112">
        <f>SUM(AC33:AC58)*R29</f>
        <v>0.911466324076274</v>
      </c>
      <c r="AD60" s="32"/>
      <c r="AE60" s="32"/>
    </row>
    <row r="61" spans="1:31">
      <c r="A61" s="32"/>
      <c r="B61" s="32"/>
      <c r="C61" s="32"/>
      <c r="D61" s="32"/>
      <c r="E61" s="32"/>
      <c r="F61" s="32"/>
      <c r="G61" s="32"/>
      <c r="H61" s="32"/>
      <c r="I61" s="32"/>
      <c r="J61" s="32"/>
      <c r="K61" s="32"/>
      <c r="L61" s="32"/>
      <c r="M61" s="32"/>
      <c r="N61" s="97" t="s">
        <v>341</v>
      </c>
      <c r="O61" s="76">
        <f>1-T28</f>
        <v>0.548000047243098</v>
      </c>
      <c r="P61" s="98"/>
      <c r="R61" s="54" t="s">
        <v>342</v>
      </c>
      <c r="S61" s="32"/>
      <c r="T61" s="32"/>
      <c r="U61" s="32"/>
      <c r="V61" s="32"/>
      <c r="W61" s="55"/>
      <c r="X61" s="32"/>
      <c r="Y61" s="32"/>
      <c r="Z61" s="32"/>
      <c r="AA61" s="32"/>
      <c r="AB61" s="32"/>
      <c r="AC61" s="32"/>
      <c r="AD61" s="32"/>
      <c r="AE61" s="32"/>
    </row>
    <row r="62" spans="1:31">
      <c r="A62" s="32"/>
      <c r="B62" s="32"/>
      <c r="C62" s="32"/>
      <c r="D62" s="32"/>
      <c r="E62" s="32"/>
      <c r="F62" s="32"/>
      <c r="G62" s="76"/>
      <c r="H62" s="76"/>
      <c r="I62" s="76"/>
      <c r="J62" s="76"/>
      <c r="K62" s="76"/>
      <c r="L62" s="76"/>
      <c r="M62" s="32"/>
      <c r="N62" s="97" t="s">
        <v>343</v>
      </c>
      <c r="O62" s="76">
        <f>V28</f>
        <v>0.202450398410837</v>
      </c>
      <c r="P62" s="98"/>
      <c r="R62" s="54" t="s">
        <v>344</v>
      </c>
      <c r="S62" s="32">
        <f>M59/X59</f>
        <v>1542.55717416616</v>
      </c>
      <c r="T62" s="32"/>
      <c r="U62" s="32"/>
      <c r="V62" s="32"/>
      <c r="W62" s="55"/>
      <c r="X62" s="32"/>
      <c r="Y62" s="32"/>
      <c r="Z62" s="32"/>
      <c r="AA62" s="32"/>
      <c r="AB62" s="32"/>
      <c r="AC62" s="32"/>
      <c r="AD62" s="32"/>
      <c r="AE62" s="32"/>
    </row>
    <row r="63" ht="15.15" spans="1:31">
      <c r="A63" s="32"/>
      <c r="B63" s="32"/>
      <c r="C63" s="32"/>
      <c r="D63" s="32"/>
      <c r="E63" s="32"/>
      <c r="F63" s="32"/>
      <c r="G63" s="76"/>
      <c r="H63" s="76"/>
      <c r="I63" s="76"/>
      <c r="J63" s="76"/>
      <c r="K63" s="76"/>
      <c r="L63" s="76"/>
      <c r="M63" s="32"/>
      <c r="N63" s="99" t="s">
        <v>345</v>
      </c>
      <c r="O63" s="100"/>
      <c r="P63" s="101">
        <f>O62</f>
        <v>0.202450398410837</v>
      </c>
      <c r="R63" s="56" t="s">
        <v>346</v>
      </c>
      <c r="S63" s="57">
        <f>K59/X59</f>
        <v>2287.17693185287</v>
      </c>
      <c r="T63" s="57"/>
      <c r="U63" s="57"/>
      <c r="V63" s="57"/>
      <c r="W63" s="112"/>
      <c r="X63" s="32"/>
      <c r="Y63" s="32"/>
      <c r="Z63" s="32"/>
      <c r="AA63" s="32"/>
      <c r="AB63" s="32"/>
      <c r="AC63" s="32"/>
      <c r="AD63" s="32"/>
      <c r="AE63" s="32"/>
    </row>
    <row r="64" spans="1:31">
      <c r="A64" s="32"/>
      <c r="B64" s="32"/>
      <c r="C64" s="32"/>
      <c r="D64" s="32"/>
      <c r="E64" s="32"/>
      <c r="F64" s="32"/>
      <c r="M64" s="32"/>
      <c r="N64" s="32"/>
      <c r="O64" s="32"/>
      <c r="P64" s="32"/>
      <c r="Q64" s="32"/>
      <c r="R64" s="32"/>
      <c r="S64" s="32"/>
      <c r="T64" s="32"/>
      <c r="U64" s="32"/>
      <c r="V64" s="32"/>
      <c r="W64" s="32"/>
      <c r="X64" s="32"/>
      <c r="Y64" s="32"/>
      <c r="Z64" s="32"/>
      <c r="AA64" s="32"/>
      <c r="AB64" s="32"/>
      <c r="AC64" s="32"/>
      <c r="AD64" s="32"/>
      <c r="AE64" s="32"/>
    </row>
    <row r="70" spans="6:13">
      <c r="F70" s="76"/>
      <c r="G70" s="76"/>
      <c r="H70" s="76"/>
      <c r="I70" s="76"/>
      <c r="J70" s="76"/>
      <c r="K70" s="76"/>
      <c r="L70" s="76"/>
      <c r="M70" s="76"/>
    </row>
    <row r="71" spans="6:13">
      <c r="F71" s="76"/>
      <c r="G71" s="76"/>
      <c r="H71" s="76"/>
      <c r="I71" s="76"/>
      <c r="J71" s="76"/>
      <c r="K71" s="76"/>
      <c r="L71" s="76"/>
      <c r="M71" s="76"/>
    </row>
    <row r="72" spans="6:13">
      <c r="F72" s="76"/>
      <c r="J72" s="76"/>
      <c r="K72" s="76"/>
      <c r="L72" s="76"/>
      <c r="M72" s="76"/>
    </row>
    <row r="73" spans="6:13">
      <c r="F73" s="76"/>
      <c r="J73" s="76"/>
      <c r="K73" s="142"/>
      <c r="L73" s="76"/>
      <c r="M73" s="76"/>
    </row>
    <row r="74" spans="6:13">
      <c r="F74" s="76"/>
      <c r="J74" s="76"/>
      <c r="K74" s="76"/>
      <c r="L74" s="76"/>
      <c r="M74" s="76"/>
    </row>
    <row r="75" spans="6:13">
      <c r="F75" s="76"/>
      <c r="J75" s="76"/>
      <c r="K75" s="76"/>
      <c r="L75" s="76"/>
      <c r="M75" s="76"/>
    </row>
    <row r="76" spans="6:13">
      <c r="F76" s="76"/>
      <c r="J76" s="76"/>
      <c r="K76" s="76"/>
      <c r="L76" s="76"/>
      <c r="M76" s="76"/>
    </row>
    <row r="77" spans="6:13">
      <c r="F77" s="76"/>
      <c r="G77" s="76"/>
      <c r="H77" s="76"/>
      <c r="I77" s="76"/>
      <c r="J77" s="76"/>
      <c r="K77" s="76"/>
      <c r="L77" s="76"/>
      <c r="M77" s="76"/>
    </row>
    <row r="78" spans="6:13">
      <c r="F78" s="76"/>
      <c r="G78" s="76"/>
      <c r="H78" s="76"/>
      <c r="I78" s="76"/>
      <c r="J78" s="76"/>
      <c r="K78" s="76"/>
      <c r="L78" s="76"/>
      <c r="M78" s="76"/>
    </row>
    <row r="79" spans="6:13">
      <c r="F79" s="76"/>
      <c r="G79" s="76"/>
      <c r="H79" s="76"/>
      <c r="I79" s="76"/>
      <c r="J79" s="76"/>
      <c r="K79" s="76"/>
      <c r="L79" s="76"/>
      <c r="M79" s="76"/>
    </row>
    <row r="80" spans="6:13">
      <c r="F80" s="76"/>
      <c r="G80" s="76"/>
      <c r="H80" s="76"/>
      <c r="I80" s="76"/>
      <c r="J80" s="76"/>
      <c r="K80" s="76"/>
      <c r="L80" s="76"/>
      <c r="M80" s="76"/>
    </row>
    <row r="81" spans="6:13">
      <c r="F81" s="76"/>
      <c r="G81" s="76"/>
      <c r="H81" s="76"/>
      <c r="I81" s="76"/>
      <c r="J81" s="76"/>
      <c r="K81" s="76"/>
      <c r="L81" s="76"/>
      <c r="M81" s="76"/>
    </row>
    <row r="82" spans="6:13">
      <c r="F82" s="76"/>
      <c r="G82" s="76"/>
      <c r="H82" s="76"/>
      <c r="I82" s="76"/>
      <c r="J82" s="76"/>
      <c r="K82" s="76"/>
      <c r="L82" s="76"/>
      <c r="M82" s="76"/>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ignoredErrors>
    <ignoredError sqref="Q3:Q27"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4"/>
  <sheetViews>
    <sheetView topLeftCell="H19" workbookViewId="0">
      <selection activeCell="V28" sqref="V28"/>
    </sheetView>
  </sheetViews>
  <sheetFormatPr defaultColWidth="8.88888888888889" defaultRowHeight="14.4"/>
  <cols>
    <col min="5" max="5" width="9.44444444444444" customWidth="1"/>
    <col min="7" max="7" width="17.6666666666667" customWidth="1"/>
    <col min="16" max="16" width="10.3333333333333" customWidth="1"/>
    <col min="18" max="18" width="12.8888888888889"/>
    <col min="20" max="22" width="12.8888888888889"/>
    <col min="24" max="24" width="12.8888888888889"/>
  </cols>
  <sheetData>
    <row r="1" ht="16.35" spans="1:30">
      <c r="A1" s="32"/>
      <c r="B1" s="32"/>
      <c r="C1" s="32"/>
      <c r="D1" s="32"/>
      <c r="E1" s="32"/>
      <c r="F1" s="33"/>
      <c r="G1" s="34"/>
      <c r="H1" s="34"/>
      <c r="I1" s="77" t="s">
        <v>296</v>
      </c>
      <c r="J1" s="77" t="s">
        <v>297</v>
      </c>
      <c r="K1" s="77" t="s">
        <v>298</v>
      </c>
      <c r="L1" s="77" t="s">
        <v>299</v>
      </c>
      <c r="M1" s="77" t="s">
        <v>300</v>
      </c>
      <c r="N1" s="77" t="s">
        <v>301</v>
      </c>
      <c r="O1" s="77" t="s">
        <v>302</v>
      </c>
      <c r="P1" s="34" t="s">
        <v>303</v>
      </c>
      <c r="Q1" s="34" t="s">
        <v>304</v>
      </c>
      <c r="R1" s="34"/>
      <c r="S1" s="34"/>
      <c r="T1" s="34"/>
      <c r="U1" s="34" t="s">
        <v>306</v>
      </c>
      <c r="V1" s="34"/>
      <c r="W1" s="102" t="s">
        <v>307</v>
      </c>
      <c r="X1" s="32" t="s">
        <v>308</v>
      </c>
      <c r="Y1" s="32" t="s">
        <v>309</v>
      </c>
      <c r="Z1" s="32" t="s">
        <v>310</v>
      </c>
      <c r="AA1" s="32" t="s">
        <v>311</v>
      </c>
      <c r="AB1" s="32"/>
      <c r="AC1" s="32"/>
      <c r="AD1" s="32"/>
    </row>
    <row r="2" ht="15.6" spans="1:30">
      <c r="A2" s="33">
        <f>数据表!I3</f>
        <v>24</v>
      </c>
      <c r="B2" s="35" t="s">
        <v>205</v>
      </c>
      <c r="C2" s="36">
        <v>1</v>
      </c>
      <c r="D2" s="37">
        <v>3995</v>
      </c>
      <c r="E2" s="38">
        <f t="shared" ref="E2:E9" si="0">D2</f>
        <v>3995</v>
      </c>
      <c r="F2" s="39">
        <v>1</v>
      </c>
      <c r="G2" s="40" t="str">
        <f>VLOOKUP(1,数据表!C1:D26,2,0)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SUMIF(F2:F27,"&lt;="&amp;'倾向-优先级表'!M14,O2:O27)</f>
        <v>0.769954369883497</v>
      </c>
      <c r="Q2" s="40">
        <f>IF(VLOOKUP(1,A2:C27,3,0)&gt;(24-'倾向-优先级表'!I13),VLOOKUP(1,A2:C27,3,0),24-'倾向-优先级表'!I13)</f>
        <v>8</v>
      </c>
      <c r="R2" s="40">
        <f t="shared" ref="R2:R27" si="5">Q2*O2</f>
        <v>0.344610666625871</v>
      </c>
      <c r="S2" s="40">
        <f>R29</f>
        <v>1</v>
      </c>
      <c r="T2" s="40">
        <f>'倾向-优先级表'!M14</f>
        <v>14</v>
      </c>
      <c r="U2" s="40">
        <f>V28</f>
        <v>0.352435700437533</v>
      </c>
      <c r="V2" s="40">
        <f t="shared" ref="V2:V27" si="6">IF(F2&lt;=T2,O2,0)</f>
        <v>0.0430763333282339</v>
      </c>
      <c r="W2" s="103">
        <f t="shared" ref="W2:W27" si="7">V2/P2*(1-U2)+U2*O2</f>
        <v>0.051410662064686</v>
      </c>
      <c r="X2" s="32">
        <f>VLOOKUP(G2,G33:L58,6,0)</f>
        <v>12000</v>
      </c>
      <c r="Y2" s="32">
        <f>VLOOKUP(G2,G33:L58,4,0)</f>
        <v>21008.2909090909</v>
      </c>
      <c r="Z2" s="32">
        <f t="shared" ref="Z2:Z27" si="8">X2*O2</f>
        <v>516.915999938807</v>
      </c>
      <c r="AA2" s="32">
        <f t="shared" ref="AA2:AA27" si="9">Y2*O2</f>
        <v>904.960141856506</v>
      </c>
      <c r="AB2" s="32"/>
      <c r="AC2" s="32"/>
      <c r="AD2" s="32"/>
    </row>
    <row r="3" ht="15.6" spans="1:30">
      <c r="A3" s="41">
        <f>数据表!I4</f>
        <v>21</v>
      </c>
      <c r="B3" s="42" t="s">
        <v>211</v>
      </c>
      <c r="C3" s="43">
        <v>2</v>
      </c>
      <c r="D3" s="44">
        <v>2649</v>
      </c>
      <c r="E3" s="45">
        <f t="shared" si="0"/>
        <v>2649</v>
      </c>
      <c r="F3" s="39">
        <v>2</v>
      </c>
      <c r="G3" s="40" t="str">
        <f>VLOOKUP(2,数据表!C1:D26,2,0)</f>
        <v>彩船定向0.5h</v>
      </c>
      <c r="H3" s="40">
        <f>VLOOKUP(G3,B2:E27,4,0)</f>
        <v>51.6</v>
      </c>
      <c r="I3" s="78">
        <f t="shared" ref="I3:I27" si="10">I2-H2</f>
        <v>36228.67</v>
      </c>
      <c r="J3" s="78">
        <f t="shared" si="1"/>
        <v>0.00142428634559314</v>
      </c>
      <c r="K3" s="78">
        <f t="shared" si="2"/>
        <v>0.000474762115197715</v>
      </c>
      <c r="L3" s="78">
        <f t="shared" si="3"/>
        <v>0.994787975462993</v>
      </c>
      <c r="M3" s="78">
        <f t="shared" si="4"/>
        <v>0.00521202453700731</v>
      </c>
      <c r="N3" s="78">
        <f t="shared" ref="N3:N27" si="11">L3*N2</f>
        <v>0.95193615704103</v>
      </c>
      <c r="O3" s="78">
        <f t="shared" ref="O3:O27" si="12">M3*N2</f>
        <v>0.00498750963073625</v>
      </c>
      <c r="P3" s="40">
        <f t="shared" ref="P3:U3" si="13">P2</f>
        <v>0.769954369883497</v>
      </c>
      <c r="Q3" s="40">
        <f>IF(VLOOKUP(2,A2:C27,3,0)&gt;(24-'倾向-优先级表'!I13),VLOOKUP(2,A2:C27,3,0),24-'倾向-优先级表'!I13)</f>
        <v>8</v>
      </c>
      <c r="R3" s="40">
        <f t="shared" si="5"/>
        <v>0.03990007704589</v>
      </c>
      <c r="S3" s="40">
        <f t="shared" si="13"/>
        <v>1</v>
      </c>
      <c r="T3" s="40">
        <f t="shared" si="13"/>
        <v>14</v>
      </c>
      <c r="U3" s="40">
        <f t="shared" si="13"/>
        <v>0.352435700437533</v>
      </c>
      <c r="V3" s="40">
        <f t="shared" si="6"/>
        <v>0.00498750963073625</v>
      </c>
      <c r="W3" s="103">
        <f t="shared" si="7"/>
        <v>0.0059524837041338</v>
      </c>
      <c r="X3" s="32">
        <f>VLOOKUP(G3,G33:L58,6,0)</f>
        <v>16000</v>
      </c>
      <c r="Y3" s="32">
        <f>VLOOKUP(G3,G33:L58,4,0)</f>
        <v>14011.9636363636</v>
      </c>
      <c r="Z3" s="32">
        <f t="shared" si="8"/>
        <v>79.80015409178</v>
      </c>
      <c r="AA3" s="32">
        <f t="shared" si="9"/>
        <v>69.8848035818897</v>
      </c>
      <c r="AB3" s="32"/>
      <c r="AC3" s="32"/>
      <c r="AD3" s="32"/>
    </row>
    <row r="4" ht="15.6" spans="1:30">
      <c r="A4" s="41">
        <f>数据表!I5</f>
        <v>23</v>
      </c>
      <c r="B4" s="42" t="s">
        <v>222</v>
      </c>
      <c r="C4" s="43">
        <v>4</v>
      </c>
      <c r="D4" s="44">
        <v>591</v>
      </c>
      <c r="E4" s="45">
        <f t="shared" si="0"/>
        <v>591</v>
      </c>
      <c r="F4" s="39">
        <v>3</v>
      </c>
      <c r="G4" s="40" t="str">
        <f>VLOOKUP(3,数据表!C1:D26,2,0)</f>
        <v>舰装解析4h</v>
      </c>
      <c r="H4" s="40">
        <f>VLOOKUP(G4,B2:E27,4,0)</f>
        <v>861</v>
      </c>
      <c r="I4" s="78">
        <f t="shared" si="10"/>
        <v>36177.07</v>
      </c>
      <c r="J4" s="78">
        <f t="shared" si="1"/>
        <v>0.0237996056618184</v>
      </c>
      <c r="K4" s="78">
        <f t="shared" si="2"/>
        <v>0.00793320188727279</v>
      </c>
      <c r="L4" s="78">
        <f t="shared" si="3"/>
        <v>0.915585205725391</v>
      </c>
      <c r="M4" s="78">
        <f t="shared" si="4"/>
        <v>0.084414794274609</v>
      </c>
      <c r="N4" s="78">
        <f t="shared" si="11"/>
        <v>0.871578662181849</v>
      </c>
      <c r="O4" s="78">
        <f t="shared" si="12"/>
        <v>0.0803574948591804</v>
      </c>
      <c r="P4" s="40">
        <f t="shared" ref="P4:U4" si="14">P3</f>
        <v>0.769954369883497</v>
      </c>
      <c r="Q4" s="40">
        <f>IF(VLOOKUP(3,A2:C27,3,0)&gt;(24-'倾向-优先级表'!I13),VLOOKUP(3,A2:C27,3,0),24-'倾向-优先级表'!I13)</f>
        <v>8</v>
      </c>
      <c r="R4" s="40">
        <f t="shared" si="5"/>
        <v>0.642859958873443</v>
      </c>
      <c r="S4" s="40">
        <f t="shared" si="14"/>
        <v>1</v>
      </c>
      <c r="T4" s="40">
        <f t="shared" si="14"/>
        <v>14</v>
      </c>
      <c r="U4" s="40">
        <f t="shared" si="14"/>
        <v>0.352435700437533</v>
      </c>
      <c r="V4" s="40">
        <f t="shared" si="6"/>
        <v>0.0803574948591804</v>
      </c>
      <c r="W4" s="103">
        <f t="shared" si="7"/>
        <v>0.0959049132870901</v>
      </c>
      <c r="X4" s="32">
        <f>VLOOKUP(G4,G33:L58,6,0)</f>
        <v>12000</v>
      </c>
      <c r="Y4" s="32">
        <f>VLOOKUP(G4,G33:L58,4,0)</f>
        <v>10504.1454545455</v>
      </c>
      <c r="Z4" s="32">
        <f t="shared" si="8"/>
        <v>964.289938310165</v>
      </c>
      <c r="AA4" s="32">
        <f t="shared" si="9"/>
        <v>844.086814363719</v>
      </c>
      <c r="AB4" s="32"/>
      <c r="AC4" s="32"/>
      <c r="AD4" s="32"/>
    </row>
    <row r="5" ht="15.6" spans="1:30">
      <c r="A5" s="41">
        <f>数据表!I6</f>
        <v>13</v>
      </c>
      <c r="B5" s="42" t="s">
        <v>224</v>
      </c>
      <c r="C5" s="43">
        <v>0.5</v>
      </c>
      <c r="D5" s="44">
        <v>44</v>
      </c>
      <c r="E5" s="45">
        <f t="shared" si="0"/>
        <v>44</v>
      </c>
      <c r="F5" s="39">
        <v>4</v>
      </c>
      <c r="G5" s="40" t="str">
        <f>VLOOKUP(4,数据表!C1:D26,2,0)</f>
        <v>金船定向0.5h</v>
      </c>
      <c r="H5" s="40">
        <f>VLOOKUP(G5,B2:E27,4,0)</f>
        <v>77.4</v>
      </c>
      <c r="I5" s="78">
        <f t="shared" si="10"/>
        <v>35316.07</v>
      </c>
      <c r="J5" s="78">
        <f t="shared" si="1"/>
        <v>0.00219163683841379</v>
      </c>
      <c r="K5" s="78">
        <f t="shared" si="2"/>
        <v>0.000730545612804596</v>
      </c>
      <c r="L5" s="78">
        <f t="shared" si="3"/>
        <v>0.991988513249172</v>
      </c>
      <c r="M5" s="78">
        <f t="shared" si="4"/>
        <v>0.00801148675082819</v>
      </c>
      <c r="N5" s="78">
        <f t="shared" si="11"/>
        <v>0.864596021277475</v>
      </c>
      <c r="O5" s="78">
        <f t="shared" si="12"/>
        <v>0.00698264090437445</v>
      </c>
      <c r="P5" s="40">
        <f t="shared" ref="P5:U5" si="15">P4</f>
        <v>0.769954369883497</v>
      </c>
      <c r="Q5" s="40">
        <f>IF(VLOOKUP(4,A2:C27,3,0)&gt;(24-'倾向-优先级表'!I13),VLOOKUP(4,A2:C27,3,0),24-'倾向-优先级表'!I13)</f>
        <v>8</v>
      </c>
      <c r="R5" s="40">
        <f t="shared" si="5"/>
        <v>0.0558611272349956</v>
      </c>
      <c r="S5" s="40">
        <f t="shared" si="15"/>
        <v>1</v>
      </c>
      <c r="T5" s="40">
        <f t="shared" si="15"/>
        <v>14</v>
      </c>
      <c r="U5" s="40">
        <f t="shared" si="15"/>
        <v>0.352435700437533</v>
      </c>
      <c r="V5" s="40">
        <f t="shared" si="6"/>
        <v>0.00698264090437445</v>
      </c>
      <c r="W5" s="103">
        <f t="shared" si="7"/>
        <v>0.00833362926037525</v>
      </c>
      <c r="X5" s="32">
        <f>VLOOKUP(G5,G33:L58,6,0)</f>
        <v>16000</v>
      </c>
      <c r="Y5" s="32">
        <f>VLOOKUP(G5,G33:L58,4,0)</f>
        <v>12103.5818181818</v>
      </c>
      <c r="Z5" s="32">
        <f t="shared" si="8"/>
        <v>111.722254469991</v>
      </c>
      <c r="AA5" s="32">
        <f t="shared" si="9"/>
        <v>84.5149654930792</v>
      </c>
      <c r="AB5" s="32"/>
      <c r="AC5" s="32"/>
      <c r="AD5" s="32"/>
    </row>
    <row r="6" ht="15.6" spans="1:30">
      <c r="A6" s="41">
        <f>数据表!I7</f>
        <v>19</v>
      </c>
      <c r="B6" s="42" t="s">
        <v>225</v>
      </c>
      <c r="C6" s="43">
        <v>1</v>
      </c>
      <c r="D6" s="44">
        <v>3173</v>
      </c>
      <c r="E6" s="45">
        <f t="shared" si="0"/>
        <v>3173</v>
      </c>
      <c r="F6" s="39">
        <v>5</v>
      </c>
      <c r="G6" s="40" t="str">
        <f>VLOOKUP(5,数据表!C1:D26,2,0)</f>
        <v>彩船定向8h</v>
      </c>
      <c r="H6" s="40">
        <f>VLOOKUP(G6,B2:E27,4,0)</f>
        <v>286.4</v>
      </c>
      <c r="I6" s="78">
        <f t="shared" si="10"/>
        <v>35238.67</v>
      </c>
      <c r="J6" s="78">
        <f t="shared" si="1"/>
        <v>0.00812743500251286</v>
      </c>
      <c r="K6" s="78">
        <f t="shared" si="2"/>
        <v>0.00270914500083762</v>
      </c>
      <c r="L6" s="78">
        <f t="shared" si="3"/>
        <v>0.97053523528423</v>
      </c>
      <c r="M6" s="78">
        <f t="shared" si="4"/>
        <v>0.02946476471577</v>
      </c>
      <c r="N6" s="78">
        <f t="shared" si="11"/>
        <v>0.839120902936343</v>
      </c>
      <c r="O6" s="78">
        <f t="shared" si="12"/>
        <v>0.0254751183411317</v>
      </c>
      <c r="P6" s="40">
        <f t="shared" ref="P6:U6" si="16">P5</f>
        <v>0.769954369883497</v>
      </c>
      <c r="Q6" s="40">
        <f>IF(VLOOKUP(5,A2:C27,3,0)&gt;(24-'倾向-优先级表'!I13),VLOOKUP(5,A2:C27,3,0),24-'倾向-优先级表'!I13)</f>
        <v>8</v>
      </c>
      <c r="R6" s="40">
        <f t="shared" si="5"/>
        <v>0.203800946729053</v>
      </c>
      <c r="S6" s="40">
        <f t="shared" si="16"/>
        <v>1</v>
      </c>
      <c r="T6" s="40">
        <f t="shared" si="16"/>
        <v>14</v>
      </c>
      <c r="U6" s="40">
        <f t="shared" si="16"/>
        <v>0.352435700437533</v>
      </c>
      <c r="V6" s="40">
        <f t="shared" si="6"/>
        <v>0.0254751183411317</v>
      </c>
      <c r="W6" s="103">
        <f t="shared" si="7"/>
        <v>0.0304039967866852</v>
      </c>
      <c r="X6" s="32">
        <f>VLOOKUP(G6,G33:L58,6,0)</f>
        <v>12000</v>
      </c>
      <c r="Y6" s="32">
        <f>VLOOKUP(G6,G33:L58,4,0)</f>
        <v>9783.27272727273</v>
      </c>
      <c r="Z6" s="32">
        <f t="shared" si="8"/>
        <v>305.70142009358</v>
      </c>
      <c r="AA6" s="32">
        <f t="shared" si="9"/>
        <v>249.230030490839</v>
      </c>
      <c r="AB6" s="32"/>
      <c r="AC6" s="32"/>
      <c r="AD6" s="32"/>
    </row>
    <row r="7" ht="15.6" spans="1:30">
      <c r="A7" s="41">
        <f>数据表!I8</f>
        <v>12</v>
      </c>
      <c r="B7" s="42" t="s">
        <v>226</v>
      </c>
      <c r="C7" s="43">
        <v>2</v>
      </c>
      <c r="D7" s="44">
        <v>1588</v>
      </c>
      <c r="E7" s="45">
        <f t="shared" si="0"/>
        <v>1588</v>
      </c>
      <c r="F7" s="39">
        <v>6</v>
      </c>
      <c r="G7" s="40" t="str">
        <f>VLOOKUP(6,数据表!C1:D26,2,0)</f>
        <v>金船定向8h</v>
      </c>
      <c r="H7" s="40">
        <f>VLOOKUP(G7,B2:E27,4,0)</f>
        <v>429.6</v>
      </c>
      <c r="I7" s="78">
        <f t="shared" si="10"/>
        <v>34952.27</v>
      </c>
      <c r="J7" s="78">
        <f t="shared" si="1"/>
        <v>0.0122910471909264</v>
      </c>
      <c r="K7" s="78">
        <f t="shared" si="2"/>
        <v>0.00409701573030879</v>
      </c>
      <c r="L7" s="78">
        <f t="shared" si="3"/>
        <v>0.955698795145524</v>
      </c>
      <c r="M7" s="78">
        <f t="shared" si="4"/>
        <v>0.0443012048544764</v>
      </c>
      <c r="N7" s="78">
        <f t="shared" si="11"/>
        <v>0.801946835917687</v>
      </c>
      <c r="O7" s="78">
        <f t="shared" si="12"/>
        <v>0.0371740670186562</v>
      </c>
      <c r="P7" s="40">
        <f t="shared" ref="P7:U7" si="17">P6</f>
        <v>0.769954369883497</v>
      </c>
      <c r="Q7" s="40">
        <f>IF(VLOOKUP(6,A2:C27,3,0)&gt;(24-'倾向-优先级表'!I13),VLOOKUP(6,A2:C27,3,0),24-'倾向-优先级表'!I13)</f>
        <v>8</v>
      </c>
      <c r="R7" s="40">
        <f t="shared" si="5"/>
        <v>0.297392536149249</v>
      </c>
      <c r="S7" s="40">
        <f t="shared" si="17"/>
        <v>1</v>
      </c>
      <c r="T7" s="40">
        <f t="shared" si="17"/>
        <v>14</v>
      </c>
      <c r="U7" s="40">
        <f t="shared" si="17"/>
        <v>0.352435700437533</v>
      </c>
      <c r="V7" s="40">
        <f t="shared" si="6"/>
        <v>0.0371740670186562</v>
      </c>
      <c r="W7" s="103">
        <f t="shared" si="7"/>
        <v>0.0443664362633549</v>
      </c>
      <c r="X7" s="32">
        <f>VLOOKUP(G7,G33:L58,6,0)</f>
        <v>12000</v>
      </c>
      <c r="Y7" s="32">
        <f>VLOOKUP(G7,G33:L58,4,0)</f>
        <v>8393.01818181818</v>
      </c>
      <c r="Z7" s="32">
        <f t="shared" si="8"/>
        <v>446.088804223874</v>
      </c>
      <c r="AA7" s="32">
        <f t="shared" si="9"/>
        <v>312.002620379709</v>
      </c>
      <c r="AB7" s="32"/>
      <c r="AC7" s="32"/>
      <c r="AD7" s="32"/>
    </row>
    <row r="8" ht="15.6" spans="1:30">
      <c r="A8" s="41">
        <f>数据表!I9</f>
        <v>3</v>
      </c>
      <c r="B8" s="42" t="s">
        <v>228</v>
      </c>
      <c r="C8" s="43">
        <v>4</v>
      </c>
      <c r="D8" s="44">
        <v>861</v>
      </c>
      <c r="E8" s="45">
        <f t="shared" si="0"/>
        <v>861</v>
      </c>
      <c r="F8" s="39">
        <v>7</v>
      </c>
      <c r="G8" s="40" t="str">
        <f>VLOOKUP(7,数据表!C1:D26,2,0)</f>
        <v>资金募集4h</v>
      </c>
      <c r="H8" s="40">
        <f>VLOOKUP(G8,B2:E27,4,0)</f>
        <v>1793</v>
      </c>
      <c r="I8" s="78">
        <f t="shared" si="10"/>
        <v>34522.67</v>
      </c>
      <c r="J8" s="78">
        <f t="shared" si="1"/>
        <v>0.0519368866892393</v>
      </c>
      <c r="K8" s="78">
        <f t="shared" si="2"/>
        <v>0.0173122955630798</v>
      </c>
      <c r="L8" s="78">
        <f t="shared" si="3"/>
        <v>0.822891910753237</v>
      </c>
      <c r="M8" s="78">
        <f t="shared" si="4"/>
        <v>0.177108089246763</v>
      </c>
      <c r="N8" s="78">
        <f t="shared" si="11"/>
        <v>0.659915564130818</v>
      </c>
      <c r="O8" s="78">
        <f t="shared" si="12"/>
        <v>0.142031271786869</v>
      </c>
      <c r="P8" s="40">
        <f t="shared" ref="P8:U8" si="18">P7</f>
        <v>0.769954369883497</v>
      </c>
      <c r="Q8" s="40">
        <f>IF(VLOOKUP(7,A2:C27,3,0)&gt;(24-'倾向-优先级表'!I13),VLOOKUP(7,A2:C27,3,0),24-'倾向-优先级表'!I13)</f>
        <v>8</v>
      </c>
      <c r="R8" s="40">
        <f t="shared" si="5"/>
        <v>1.13625017429495</v>
      </c>
      <c r="S8" s="40">
        <f t="shared" si="18"/>
        <v>1</v>
      </c>
      <c r="T8" s="40">
        <f t="shared" si="18"/>
        <v>14</v>
      </c>
      <c r="U8" s="40">
        <f t="shared" si="18"/>
        <v>0.352435700437533</v>
      </c>
      <c r="V8" s="40">
        <f t="shared" si="6"/>
        <v>0.142031271786869</v>
      </c>
      <c r="W8" s="103">
        <f t="shared" si="7"/>
        <v>0.169511217698427</v>
      </c>
      <c r="X8" s="32">
        <f>VLOOKUP(G8,G33:L58,6,0)</f>
        <v>12000</v>
      </c>
      <c r="Y8" s="32">
        <f>VLOOKUP(G8,G33:L58,4,0)</f>
        <v>7414.69090909091</v>
      </c>
      <c r="Z8" s="32">
        <f t="shared" si="8"/>
        <v>1704.37526144243</v>
      </c>
      <c r="AA8" s="32">
        <f t="shared" si="9"/>
        <v>1053.11797972472</v>
      </c>
      <c r="AB8" s="32"/>
      <c r="AC8" s="32"/>
      <c r="AD8" s="32"/>
    </row>
    <row r="9" ht="15.6" spans="1:30">
      <c r="A9" s="41">
        <f>数据表!I10</f>
        <v>1</v>
      </c>
      <c r="B9" s="42" t="s">
        <v>230</v>
      </c>
      <c r="C9" s="43">
        <v>0.5</v>
      </c>
      <c r="D9" s="44">
        <v>438</v>
      </c>
      <c r="E9" s="45">
        <f t="shared" si="0"/>
        <v>438</v>
      </c>
      <c r="F9" s="39">
        <v>8</v>
      </c>
      <c r="G9" s="40" t="str">
        <f>VLOOKUP(8,数据表!C1:D26,2,0)</f>
        <v>金数据收集4h</v>
      </c>
      <c r="H9" s="40">
        <f>VLOOKUP(G9,B2:E27,4,0)</f>
        <v>361</v>
      </c>
      <c r="I9" s="78">
        <f t="shared" si="10"/>
        <v>32729.67</v>
      </c>
      <c r="J9" s="78">
        <f t="shared" si="1"/>
        <v>0.0110297476265419</v>
      </c>
      <c r="K9" s="78">
        <f t="shared" si="2"/>
        <v>0.00367658254218064</v>
      </c>
      <c r="L9" s="78">
        <f t="shared" si="3"/>
        <v>0.960174927981887</v>
      </c>
      <c r="M9" s="78">
        <f t="shared" si="4"/>
        <v>0.0398250720181133</v>
      </c>
      <c r="N9" s="78">
        <f t="shared" si="11"/>
        <v>0.633634379263435</v>
      </c>
      <c r="O9" s="78">
        <f t="shared" si="12"/>
        <v>0.0262811848673837</v>
      </c>
      <c r="P9" s="40">
        <f t="shared" ref="P9:U9" si="19">P8</f>
        <v>0.769954369883497</v>
      </c>
      <c r="Q9" s="40">
        <f>IF(VLOOKUP(8,A2:C27,3,0)&gt;(24-'倾向-优先级表'!I13),VLOOKUP(8,A2:C27,3,0),24-'倾向-优先级表'!I13)</f>
        <v>8</v>
      </c>
      <c r="R9" s="40">
        <f t="shared" si="5"/>
        <v>0.210249478939069</v>
      </c>
      <c r="S9" s="40">
        <f t="shared" si="19"/>
        <v>1</v>
      </c>
      <c r="T9" s="40">
        <f t="shared" si="19"/>
        <v>14</v>
      </c>
      <c r="U9" s="40">
        <f t="shared" si="19"/>
        <v>0.352435700437533</v>
      </c>
      <c r="V9" s="40">
        <f t="shared" si="6"/>
        <v>0.0262811848673837</v>
      </c>
      <c r="W9" s="103">
        <f t="shared" si="7"/>
        <v>0.0313660195630211</v>
      </c>
      <c r="X9" s="32">
        <f>VLOOKUP(G9,G33:L58,6,0)</f>
        <v>12000</v>
      </c>
      <c r="Y9" s="32">
        <f>VLOOKUP(G9,G33:L58,4,0)</f>
        <v>6050.18181818182</v>
      </c>
      <c r="Z9" s="32">
        <f t="shared" si="8"/>
        <v>315.374218408604</v>
      </c>
      <c r="AA9" s="32">
        <f t="shared" si="9"/>
        <v>159.00594684492</v>
      </c>
      <c r="AB9" s="32"/>
      <c r="AC9" s="32"/>
      <c r="AD9" s="32"/>
    </row>
    <row r="10" ht="15.6" spans="1:30">
      <c r="A10" s="41">
        <f>数据表!I11</f>
        <v>16</v>
      </c>
      <c r="B10" s="42" t="s">
        <v>231</v>
      </c>
      <c r="C10" s="43">
        <v>2.5</v>
      </c>
      <c r="D10" s="44">
        <v>4817</v>
      </c>
      <c r="E10" s="45">
        <f>D28*D10</f>
        <v>2890.2</v>
      </c>
      <c r="F10" s="39">
        <v>9</v>
      </c>
      <c r="G10" s="40" t="str">
        <f>VLOOKUP(9,数据表!C1:D26,2,0)</f>
        <v>彩船定向5h</v>
      </c>
      <c r="H10" s="40">
        <f>VLOOKUP(G10,B2:E27,4,0)</f>
        <v>1214.4</v>
      </c>
      <c r="I10" s="78">
        <f t="shared" si="10"/>
        <v>32368.67</v>
      </c>
      <c r="J10" s="78">
        <f t="shared" si="1"/>
        <v>0.0375177602292587</v>
      </c>
      <c r="K10" s="78">
        <f t="shared" si="2"/>
        <v>0.0125059200764196</v>
      </c>
      <c r="L10" s="78">
        <f t="shared" si="3"/>
        <v>0.869455130766663</v>
      </c>
      <c r="M10" s="78">
        <f t="shared" si="4"/>
        <v>0.130544869233337</v>
      </c>
      <c r="N10" s="78">
        <f t="shared" si="11"/>
        <v>0.550916662080743</v>
      </c>
      <c r="O10" s="78">
        <f t="shared" si="12"/>
        <v>0.082717717182692</v>
      </c>
      <c r="P10" s="40">
        <f>P9</f>
        <v>0.769954369883497</v>
      </c>
      <c r="Q10" s="40">
        <f>IF(VLOOKUP(9,A2:C27,3,0)&gt;(24-'倾向-优先级表'!I13),VLOOKUP(9,A2:C27,3,0),24-'倾向-优先级表'!I13)</f>
        <v>8</v>
      </c>
      <c r="R10" s="40">
        <f t="shared" si="5"/>
        <v>0.661741737461536</v>
      </c>
      <c r="S10" s="40">
        <f t="shared" ref="P10:U10" si="20">S9</f>
        <v>1</v>
      </c>
      <c r="T10" s="40">
        <f t="shared" si="20"/>
        <v>14</v>
      </c>
      <c r="U10" s="40">
        <f t="shared" si="20"/>
        <v>0.352435700437533</v>
      </c>
      <c r="V10" s="40">
        <f t="shared" si="6"/>
        <v>0.082717717182692</v>
      </c>
      <c r="W10" s="103">
        <f t="shared" si="7"/>
        <v>0.0987217870294997</v>
      </c>
      <c r="X10" s="32">
        <f>VLOOKUP(G10,G33:L58,6,0)</f>
        <v>12000</v>
      </c>
      <c r="Y10" s="32">
        <f>VLOOKUP(G10,G33:L58,4,0)</f>
        <v>5857.09090909091</v>
      </c>
      <c r="Z10" s="32">
        <f t="shared" si="8"/>
        <v>992.612606192304</v>
      </c>
      <c r="AA10" s="32">
        <f t="shared" si="9"/>
        <v>484.485189331498</v>
      </c>
      <c r="AB10" s="32"/>
      <c r="AC10" s="32"/>
      <c r="AD10" s="32"/>
    </row>
    <row r="11" ht="15.6" spans="1:30">
      <c r="A11" s="41">
        <f>数据表!I12</f>
        <v>11</v>
      </c>
      <c r="B11" s="42" t="s">
        <v>232</v>
      </c>
      <c r="C11" s="43">
        <v>5</v>
      </c>
      <c r="D11" s="44">
        <v>3036</v>
      </c>
      <c r="E11" s="45">
        <f>D28*D11</f>
        <v>1821.6</v>
      </c>
      <c r="F11" s="39">
        <v>10</v>
      </c>
      <c r="G11" s="40" t="str">
        <f>VLOOKUP(10,数据表!C1:D26,2,0)</f>
        <v>基础研究8h</v>
      </c>
      <c r="H11" s="40">
        <f>VLOOKUP(G11,B2:E27,4,0)</f>
        <v>1244</v>
      </c>
      <c r="I11" s="78">
        <f t="shared" si="10"/>
        <v>31154.27</v>
      </c>
      <c r="J11" s="78">
        <f t="shared" si="1"/>
        <v>0.0399303209479792</v>
      </c>
      <c r="K11" s="78">
        <f t="shared" si="2"/>
        <v>0.0133101069826597</v>
      </c>
      <c r="L11" s="78">
        <f t="shared" si="3"/>
        <v>0.861528445313929</v>
      </c>
      <c r="M11" s="78">
        <f t="shared" si="4"/>
        <v>0.138471554686071</v>
      </c>
      <c r="N11" s="78">
        <f t="shared" si="11"/>
        <v>0.474630375379961</v>
      </c>
      <c r="O11" s="78">
        <f t="shared" si="12"/>
        <v>0.0762862867007811</v>
      </c>
      <c r="P11" s="40">
        <f t="shared" ref="P11:U11" si="21">P10</f>
        <v>0.769954369883497</v>
      </c>
      <c r="Q11" s="40">
        <f>IF(VLOOKUP(10,A2:C27,3,0)&gt;(24-'倾向-优先级表'!I13),VLOOKUP(10,A2:C27,3,0),24-'倾向-优先级表'!I13)</f>
        <v>8</v>
      </c>
      <c r="R11" s="40">
        <f t="shared" si="5"/>
        <v>0.610290293606249</v>
      </c>
      <c r="S11" s="40">
        <f t="shared" si="21"/>
        <v>1</v>
      </c>
      <c r="T11" s="40">
        <f t="shared" si="21"/>
        <v>14</v>
      </c>
      <c r="U11" s="40">
        <f t="shared" si="21"/>
        <v>0.352435700437533</v>
      </c>
      <c r="V11" s="40">
        <f t="shared" si="6"/>
        <v>0.0762862867007811</v>
      </c>
      <c r="W11" s="103">
        <f t="shared" si="7"/>
        <v>0.0910460153574172</v>
      </c>
      <c r="X11" s="32">
        <f>VLOOKUP(G11,G33:L58,6,0)</f>
        <v>12000</v>
      </c>
      <c r="Y11" s="32">
        <f>VLOOKUP(G11,G33:L58,4,0)</f>
        <v>4994.61818181818</v>
      </c>
      <c r="Z11" s="32">
        <f t="shared" si="8"/>
        <v>915.435440409373</v>
      </c>
      <c r="AA11" s="32">
        <f t="shared" si="9"/>
        <v>381.020874579116</v>
      </c>
      <c r="AB11" s="32"/>
      <c r="AC11" s="32"/>
      <c r="AD11" s="32"/>
    </row>
    <row r="12" ht="15.6" spans="1:30">
      <c r="A12" s="41">
        <f>数据表!I13</f>
        <v>6</v>
      </c>
      <c r="B12" s="42" t="s">
        <v>233</v>
      </c>
      <c r="C12" s="43">
        <v>8</v>
      </c>
      <c r="D12" s="44">
        <v>716</v>
      </c>
      <c r="E12" s="45">
        <f>D28*D12</f>
        <v>429.6</v>
      </c>
      <c r="F12" s="39">
        <v>11</v>
      </c>
      <c r="G12" s="40" t="str">
        <f>VLOOKUP(11,数据表!C1:D26,2,0)</f>
        <v>金船定向5h</v>
      </c>
      <c r="H12" s="40">
        <f>VLOOKUP(G12,B2:E27,4,0)</f>
        <v>1821.6</v>
      </c>
      <c r="I12" s="78">
        <f t="shared" si="10"/>
        <v>29910.27</v>
      </c>
      <c r="J12" s="78">
        <f t="shared" si="1"/>
        <v>0.0609021583556417</v>
      </c>
      <c r="K12" s="78">
        <f t="shared" si="2"/>
        <v>0.0203007194518806</v>
      </c>
      <c r="L12" s="78">
        <f t="shared" si="3"/>
        <v>0.794910265347197</v>
      </c>
      <c r="M12" s="78">
        <f t="shared" si="4"/>
        <v>0.205089734652803</v>
      </c>
      <c r="N12" s="78">
        <f t="shared" si="11"/>
        <v>0.377288557635125</v>
      </c>
      <c r="O12" s="78">
        <f t="shared" si="12"/>
        <v>0.0973418177448366</v>
      </c>
      <c r="P12" s="40">
        <f t="shared" ref="P12:U12" si="22">P11</f>
        <v>0.769954369883497</v>
      </c>
      <c r="Q12" s="40">
        <f>IF(VLOOKUP(11,A2:C27,3,0)&gt;(24-'倾向-优先级表'!I13),VLOOKUP(11,A2:C27,3,0),24-'倾向-优先级表'!I13)</f>
        <v>8</v>
      </c>
      <c r="R12" s="40">
        <f t="shared" si="5"/>
        <v>0.778734541958693</v>
      </c>
      <c r="S12" s="40">
        <f t="shared" si="22"/>
        <v>1</v>
      </c>
      <c r="T12" s="40">
        <f t="shared" si="22"/>
        <v>14</v>
      </c>
      <c r="U12" s="40">
        <f t="shared" si="22"/>
        <v>0.352435700437533</v>
      </c>
      <c r="V12" s="40">
        <f t="shared" si="6"/>
        <v>0.0973418177448366</v>
      </c>
      <c r="W12" s="103">
        <f t="shared" si="7"/>
        <v>0.116175331328908</v>
      </c>
      <c r="X12" s="32">
        <f>VLOOKUP(G12,G33:L58,6,0)</f>
        <v>12000</v>
      </c>
      <c r="Y12" s="32">
        <f>VLOOKUP(G12,G33:L58,4,0)</f>
        <v>4988.18181818182</v>
      </c>
      <c r="Z12" s="32">
        <f t="shared" si="8"/>
        <v>1168.10181293804</v>
      </c>
      <c r="AA12" s="32">
        <f t="shared" si="9"/>
        <v>485.558685423562</v>
      </c>
      <c r="AB12" s="32"/>
      <c r="AC12" s="32"/>
      <c r="AD12" s="32"/>
    </row>
    <row r="13" ht="15.6" spans="1:30">
      <c r="A13" s="41">
        <f>数据表!I14</f>
        <v>4</v>
      </c>
      <c r="B13" s="42" t="s">
        <v>235</v>
      </c>
      <c r="C13" s="43">
        <v>0.5</v>
      </c>
      <c r="D13" s="44">
        <v>129</v>
      </c>
      <c r="E13" s="45">
        <f>D28*D13</f>
        <v>77.4</v>
      </c>
      <c r="F13" s="39">
        <v>12</v>
      </c>
      <c r="G13" s="40" t="str">
        <f>VLOOKUP(12,数据表!C1:D26,2,0)</f>
        <v>舰装解析2h</v>
      </c>
      <c r="H13" s="40">
        <f>VLOOKUP(G13,B2:E27,4,0)</f>
        <v>1588</v>
      </c>
      <c r="I13" s="78">
        <f t="shared" si="10"/>
        <v>28088.67</v>
      </c>
      <c r="J13" s="78">
        <f t="shared" si="1"/>
        <v>0.0565352506900469</v>
      </c>
      <c r="K13" s="78">
        <f t="shared" si="2"/>
        <v>0.018845083563349</v>
      </c>
      <c r="L13" s="78">
        <f t="shared" si="3"/>
        <v>0.808448209497066</v>
      </c>
      <c r="M13" s="78">
        <f t="shared" si="4"/>
        <v>0.191551790502934</v>
      </c>
      <c r="N13" s="78">
        <f t="shared" si="11"/>
        <v>0.305018258883847</v>
      </c>
      <c r="O13" s="78">
        <f t="shared" si="12"/>
        <v>0.0722702987512778</v>
      </c>
      <c r="P13" s="40">
        <f t="shared" ref="P13:U13" si="23">P12</f>
        <v>0.769954369883497</v>
      </c>
      <c r="Q13" s="40">
        <f>IF(VLOOKUP(12,A2:C27,3,0)&gt;(24-'倾向-优先级表'!I13),VLOOKUP(12,A2:C27,3,0),24-'倾向-优先级表'!I13)</f>
        <v>8</v>
      </c>
      <c r="R13" s="40">
        <f t="shared" si="5"/>
        <v>0.578162390010222</v>
      </c>
      <c r="S13" s="40">
        <f t="shared" si="23"/>
        <v>1</v>
      </c>
      <c r="T13" s="40">
        <f t="shared" si="23"/>
        <v>14</v>
      </c>
      <c r="U13" s="40">
        <f t="shared" si="23"/>
        <v>0.352435700437533</v>
      </c>
      <c r="V13" s="40">
        <f t="shared" si="6"/>
        <v>0.0722702987512778</v>
      </c>
      <c r="W13" s="103">
        <f t="shared" si="7"/>
        <v>0.0862530215398017</v>
      </c>
      <c r="X13" s="32">
        <f>VLOOKUP(G13,G33:L58,6,0)</f>
        <v>12000</v>
      </c>
      <c r="Y13" s="32">
        <f>VLOOKUP(G13,G33:L58,4,0)</f>
        <v>4840.14545454545</v>
      </c>
      <c r="Z13" s="32">
        <f t="shared" si="8"/>
        <v>867.243585015333</v>
      </c>
      <c r="AA13" s="32">
        <f t="shared" si="9"/>
        <v>349.798757999639</v>
      </c>
      <c r="AB13" s="32"/>
      <c r="AC13" s="32"/>
      <c r="AD13" s="32"/>
    </row>
    <row r="14" ht="15.6" spans="1:30">
      <c r="A14" s="41">
        <f>数据表!I15</f>
        <v>14</v>
      </c>
      <c r="B14" s="42" t="s">
        <v>236</v>
      </c>
      <c r="C14" s="43">
        <v>2.5</v>
      </c>
      <c r="D14" s="44"/>
      <c r="E14" s="45">
        <f>D29*D10</f>
        <v>1926.8</v>
      </c>
      <c r="F14" s="39">
        <v>13</v>
      </c>
      <c r="G14" s="40" t="str">
        <f>VLOOKUP(13,数据表!C1:D26,2,0)</f>
        <v>心智补全0.5h</v>
      </c>
      <c r="H14" s="40">
        <f>VLOOKUP(G14,B2:E27,4,0)</f>
        <v>44</v>
      </c>
      <c r="I14" s="78">
        <f t="shared" si="10"/>
        <v>26500.67</v>
      </c>
      <c r="J14" s="78">
        <f t="shared" si="1"/>
        <v>0.00166033538019982</v>
      </c>
      <c r="K14" s="78">
        <f t="shared" si="2"/>
        <v>0.000553445126733274</v>
      </c>
      <c r="L14" s="78">
        <f t="shared" si="3"/>
        <v>0.993926178226017</v>
      </c>
      <c r="M14" s="78">
        <f t="shared" si="4"/>
        <v>0.00607382177398286</v>
      </c>
      <c r="N14" s="78">
        <f t="shared" si="11"/>
        <v>0.303165632341576</v>
      </c>
      <c r="O14" s="78">
        <f t="shared" si="12"/>
        <v>0.00185262654227105</v>
      </c>
      <c r="P14" s="40">
        <f t="shared" ref="P14:U14" si="24">P13</f>
        <v>0.769954369883497</v>
      </c>
      <c r="Q14" s="40">
        <f>IF(VLOOKUP(13,A2:C27,3,0)&gt;(24-'倾向-优先级表'!I13),VLOOKUP(13,A2:C27,3,0),24-'倾向-优先级表'!I13)</f>
        <v>8</v>
      </c>
      <c r="R14" s="40">
        <f t="shared" si="5"/>
        <v>0.0148210123381684</v>
      </c>
      <c r="S14" s="40">
        <f t="shared" si="24"/>
        <v>1</v>
      </c>
      <c r="T14" s="40">
        <f t="shared" si="24"/>
        <v>14</v>
      </c>
      <c r="U14" s="40">
        <f t="shared" si="24"/>
        <v>0.352435700437533</v>
      </c>
      <c r="V14" s="40">
        <f t="shared" si="6"/>
        <v>0.00185262654227105</v>
      </c>
      <c r="W14" s="103">
        <f t="shared" si="7"/>
        <v>0.00221106927488504</v>
      </c>
      <c r="X14" s="32">
        <f>VLOOKUP(G14,G33:L58,6,0)</f>
        <v>14400</v>
      </c>
      <c r="Y14" s="32">
        <f>VLOOKUP(G14,G33:L58,4,0)</f>
        <v>5582.28545454545</v>
      </c>
      <c r="Z14" s="32">
        <f t="shared" si="8"/>
        <v>26.6778222087031</v>
      </c>
      <c r="AA14" s="32">
        <f t="shared" si="9"/>
        <v>10.3418901996245</v>
      </c>
      <c r="AB14" s="32"/>
      <c r="AC14" s="32"/>
      <c r="AD14" s="32"/>
    </row>
    <row r="15" ht="15.6" spans="1:30">
      <c r="A15" s="41">
        <f>数据表!I16</f>
        <v>9</v>
      </c>
      <c r="B15" s="42" t="s">
        <v>237</v>
      </c>
      <c r="C15" s="43">
        <v>5</v>
      </c>
      <c r="D15" s="44"/>
      <c r="E15" s="45">
        <f>D29*D11</f>
        <v>1214.4</v>
      </c>
      <c r="F15" s="39">
        <v>14</v>
      </c>
      <c r="G15" s="40" t="str">
        <f>VLOOKUP(14,数据表!C1:D26,2,0)</f>
        <v>彩船定向2.5h</v>
      </c>
      <c r="H15" s="40">
        <f>VLOOKUP(G15,B2:E27,4,0)</f>
        <v>1926.8</v>
      </c>
      <c r="I15" s="78">
        <f t="shared" si="10"/>
        <v>26456.67</v>
      </c>
      <c r="J15" s="78">
        <f t="shared" si="1"/>
        <v>0.0728285154556488</v>
      </c>
      <c r="K15" s="78">
        <f t="shared" si="2"/>
        <v>0.0242761718185496</v>
      </c>
      <c r="L15" s="78">
        <f t="shared" si="3"/>
        <v>0.758811704148941</v>
      </c>
      <c r="M15" s="78">
        <f t="shared" si="4"/>
        <v>0.241188295851059</v>
      </c>
      <c r="N15" s="78">
        <f t="shared" si="11"/>
        <v>0.230045630116503</v>
      </c>
      <c r="O15" s="78">
        <f t="shared" si="12"/>
        <v>0.0731200022250735</v>
      </c>
      <c r="P15" s="40">
        <f t="shared" ref="P15:U15" si="25">P14</f>
        <v>0.769954369883497</v>
      </c>
      <c r="Q15" s="40">
        <f>IF(VLOOKUP(14,A2:C27,3,0)&gt;(24-'倾向-优先级表'!I13),VLOOKUP(14,A2:C27,3,0),24-'倾向-优先级表'!I13)</f>
        <v>8</v>
      </c>
      <c r="R15" s="40">
        <f t="shared" si="5"/>
        <v>0.584960017800588</v>
      </c>
      <c r="S15" s="40">
        <f t="shared" si="25"/>
        <v>1</v>
      </c>
      <c r="T15" s="40">
        <f t="shared" si="25"/>
        <v>14</v>
      </c>
      <c r="U15" s="40">
        <f t="shared" si="25"/>
        <v>0.352435700437533</v>
      </c>
      <c r="V15" s="40">
        <f t="shared" si="6"/>
        <v>0.0731200022250735</v>
      </c>
      <c r="W15" s="103">
        <f t="shared" si="7"/>
        <v>0.0872671240590119</v>
      </c>
      <c r="X15" s="32">
        <f>VLOOKUP(G15,G33:L58,6,0)</f>
        <v>12000</v>
      </c>
      <c r="Y15" s="32">
        <f>VLOOKUP(G15,G33:L58,4,0)</f>
        <v>3765.27272727273</v>
      </c>
      <c r="Z15" s="32">
        <f t="shared" si="8"/>
        <v>877.440026700882</v>
      </c>
      <c r="AA15" s="32">
        <f t="shared" si="9"/>
        <v>275.31675019619</v>
      </c>
      <c r="AB15" s="32"/>
      <c r="AC15" s="32"/>
      <c r="AD15" s="32"/>
    </row>
    <row r="16" ht="15.6" spans="1:30">
      <c r="A16" s="41">
        <f>数据表!I17</f>
        <v>5</v>
      </c>
      <c r="B16" s="42" t="s">
        <v>238</v>
      </c>
      <c r="C16" s="43">
        <v>8</v>
      </c>
      <c r="D16" s="44"/>
      <c r="E16" s="45">
        <f>D29*D12</f>
        <v>286.4</v>
      </c>
      <c r="F16" s="39">
        <v>15</v>
      </c>
      <c r="G16" s="40" t="str">
        <f>VLOOKUP(15,数据表!C1:D26,2,0)</f>
        <v>基础研究6h</v>
      </c>
      <c r="H16" s="40">
        <f>VLOOKUP(G16,B2:E27,4,0)</f>
        <v>1757</v>
      </c>
      <c r="I16" s="78">
        <f t="shared" si="10"/>
        <v>24529.87</v>
      </c>
      <c r="J16" s="78">
        <f t="shared" si="1"/>
        <v>0.0716269592949331</v>
      </c>
      <c r="K16" s="78">
        <f t="shared" si="2"/>
        <v>0.023875653098311</v>
      </c>
      <c r="L16" s="78">
        <f t="shared" si="3"/>
        <v>0.762391159370985</v>
      </c>
      <c r="M16" s="78">
        <f t="shared" si="4"/>
        <v>0.237608840629015</v>
      </c>
      <c r="N16" s="78">
        <f t="shared" si="11"/>
        <v>0.175384754652749</v>
      </c>
      <c r="O16" s="78">
        <f t="shared" si="12"/>
        <v>0.0546608754637534</v>
      </c>
      <c r="P16" s="40">
        <f t="shared" ref="P16:U16" si="26">P15</f>
        <v>0.769954369883497</v>
      </c>
      <c r="Q16" s="40">
        <f>IF(VLOOKUP(15,A2:C27,3,0)&gt;(24-'倾向-优先级表'!I13),VLOOKUP(15,A2:C27,3,0),24-'倾向-优先级表'!I13)</f>
        <v>8</v>
      </c>
      <c r="R16" s="40">
        <f t="shared" si="5"/>
        <v>0.437287003710027</v>
      </c>
      <c r="S16" s="40">
        <f t="shared" si="26"/>
        <v>1</v>
      </c>
      <c r="T16" s="40">
        <f t="shared" si="26"/>
        <v>14</v>
      </c>
      <c r="U16" s="40">
        <f t="shared" si="26"/>
        <v>0.352435700437533</v>
      </c>
      <c r="V16" s="40">
        <f t="shared" si="6"/>
        <v>0</v>
      </c>
      <c r="W16" s="103">
        <f t="shared" si="7"/>
        <v>0.0192644439305967</v>
      </c>
      <c r="X16" s="32">
        <f>VLOOKUP(G16,G33:L58,6,0)</f>
        <v>12000</v>
      </c>
      <c r="Y16" s="32">
        <f>VLOOKUP(G16,G33:L58,4,0)</f>
        <v>3707.34545454545</v>
      </c>
      <c r="Z16" s="32">
        <f t="shared" si="8"/>
        <v>655.930505565041</v>
      </c>
      <c r="AA16" s="32">
        <f t="shared" si="9"/>
        <v>202.646748192021</v>
      </c>
      <c r="AB16" s="32"/>
      <c r="AC16" s="32"/>
      <c r="AD16" s="32"/>
    </row>
    <row r="17" ht="15.6" spans="1:30">
      <c r="A17" s="41">
        <f>数据表!I18</f>
        <v>2</v>
      </c>
      <c r="B17" s="42" t="s">
        <v>240</v>
      </c>
      <c r="C17" s="43">
        <v>0.5</v>
      </c>
      <c r="D17" s="44"/>
      <c r="E17" s="45">
        <f>D29*D13</f>
        <v>51.6</v>
      </c>
      <c r="F17" s="39">
        <v>16</v>
      </c>
      <c r="G17" s="40" t="str">
        <f>VLOOKUP(16,数据表!C1:D26,2,0)</f>
        <v>金船定向2.5h</v>
      </c>
      <c r="H17" s="40">
        <f>VLOOKUP(G17,B2:E27,4,0)</f>
        <v>2890.2</v>
      </c>
      <c r="I17" s="78">
        <f t="shared" si="10"/>
        <v>22772.87</v>
      </c>
      <c r="J17" s="78">
        <f t="shared" si="1"/>
        <v>0.126914174629724</v>
      </c>
      <c r="K17" s="78">
        <f t="shared" si="2"/>
        <v>0.0423047248765746</v>
      </c>
      <c r="L17" s="78">
        <f t="shared" si="3"/>
        <v>0.61041542840002</v>
      </c>
      <c r="M17" s="78">
        <f t="shared" si="4"/>
        <v>0.38958457159998</v>
      </c>
      <c r="N17" s="78">
        <f t="shared" si="11"/>
        <v>0.10705756014619</v>
      </c>
      <c r="O17" s="78">
        <f t="shared" si="12"/>
        <v>0.0683271945065589</v>
      </c>
      <c r="P17" s="40">
        <f t="shared" ref="P17:U17" si="27">P16</f>
        <v>0.769954369883497</v>
      </c>
      <c r="Q17" s="40">
        <f>IF(VLOOKUP(16,A2:C27,3,0)&gt;(24-'倾向-优先级表'!I13),VLOOKUP(16,A2:C27,3,0),24-'倾向-优先级表'!I13)</f>
        <v>8</v>
      </c>
      <c r="R17" s="40">
        <f t="shared" si="5"/>
        <v>0.546617556052471</v>
      </c>
      <c r="S17" s="40">
        <f t="shared" si="27"/>
        <v>1</v>
      </c>
      <c r="T17" s="40">
        <f t="shared" si="27"/>
        <v>14</v>
      </c>
      <c r="U17" s="40">
        <f t="shared" si="27"/>
        <v>0.352435700437533</v>
      </c>
      <c r="V17" s="40">
        <f t="shared" si="6"/>
        <v>0</v>
      </c>
      <c r="W17" s="103">
        <f t="shared" si="7"/>
        <v>0.0240809426548507</v>
      </c>
      <c r="X17" s="32">
        <f>VLOOKUP(G17,G33:L58,6,0)</f>
        <v>12000</v>
      </c>
      <c r="Y17" s="32">
        <f>VLOOKUP(G17,G33:L58,4,0)</f>
        <v>3282.54545454545</v>
      </c>
      <c r="Z17" s="32">
        <f t="shared" si="8"/>
        <v>819.926334078707</v>
      </c>
      <c r="AA17" s="32">
        <f t="shared" si="9"/>
        <v>224.287121749348</v>
      </c>
      <c r="AB17" s="32"/>
      <c r="AC17" s="32"/>
      <c r="AD17" s="32"/>
    </row>
    <row r="18" ht="15.6" spans="1:30">
      <c r="A18" s="41">
        <f>数据表!I19</f>
        <v>22</v>
      </c>
      <c r="B18" s="42" t="s">
        <v>241</v>
      </c>
      <c r="C18" s="43">
        <v>1.5</v>
      </c>
      <c r="D18" s="44">
        <v>3436</v>
      </c>
      <c r="E18" s="45">
        <f t="shared" ref="E18:E27" si="28">D18</f>
        <v>3436</v>
      </c>
      <c r="F18" s="39">
        <v>17</v>
      </c>
      <c r="G18" s="40" t="str">
        <f>VLOOKUP(17,数据表!C1:D26,2,0)</f>
        <v>基础研究12h</v>
      </c>
      <c r="H18" s="40">
        <f>VLOOKUP(G18,B2:E27,4,0)</f>
        <v>452</v>
      </c>
      <c r="I18" s="78">
        <f t="shared" si="10"/>
        <v>19882.67</v>
      </c>
      <c r="J18" s="78">
        <f t="shared" si="1"/>
        <v>0.0227333652874589</v>
      </c>
      <c r="K18" s="78">
        <f t="shared" si="2"/>
        <v>0.00757778842915296</v>
      </c>
      <c r="L18" s="78">
        <f t="shared" si="3"/>
        <v>0.919246883599463</v>
      </c>
      <c r="M18" s="78">
        <f t="shared" si="4"/>
        <v>0.0807531164005372</v>
      </c>
      <c r="N18" s="78">
        <f t="shared" si="11"/>
        <v>0.0984123285301475</v>
      </c>
      <c r="O18" s="78">
        <f t="shared" si="12"/>
        <v>0.00864523161604282</v>
      </c>
      <c r="P18" s="40">
        <f t="shared" ref="P18:U18" si="29">P17</f>
        <v>0.769954369883497</v>
      </c>
      <c r="Q18" s="40">
        <f>IF(VLOOKUP(17,A2:C27,3,0)&gt;(24-'倾向-优先级表'!I13),VLOOKUP(17,A2:C27,3,0),24-'倾向-优先级表'!I13)</f>
        <v>12</v>
      </c>
      <c r="R18" s="40">
        <f t="shared" si="5"/>
        <v>0.103742779392514</v>
      </c>
      <c r="S18" s="40">
        <f t="shared" si="29"/>
        <v>1</v>
      </c>
      <c r="T18" s="40">
        <f t="shared" si="29"/>
        <v>14</v>
      </c>
      <c r="U18" s="40">
        <f t="shared" si="29"/>
        <v>0.352435700437533</v>
      </c>
      <c r="V18" s="40">
        <f t="shared" si="6"/>
        <v>0</v>
      </c>
      <c r="W18" s="103">
        <f t="shared" si="7"/>
        <v>0.00304688826004476</v>
      </c>
      <c r="X18" s="32">
        <f>VLOOKUP(G18,G33:L58,6,0)</f>
        <v>18000</v>
      </c>
      <c r="Y18" s="32">
        <f>VLOOKUP(G18,G33:L58,4,0)</f>
        <v>6410.61818181818</v>
      </c>
      <c r="Z18" s="32">
        <f t="shared" si="8"/>
        <v>155.614169088771</v>
      </c>
      <c r="AA18" s="32">
        <f t="shared" si="9"/>
        <v>55.4212789838335</v>
      </c>
      <c r="AB18" s="32"/>
      <c r="AC18" s="32"/>
      <c r="AD18" s="32"/>
    </row>
    <row r="19" ht="15.6" spans="1:30">
      <c r="A19" s="41">
        <f>数据表!I20</f>
        <v>18</v>
      </c>
      <c r="B19" s="46" t="s">
        <v>242</v>
      </c>
      <c r="C19" s="43">
        <v>2.5</v>
      </c>
      <c r="D19" s="44">
        <v>2346</v>
      </c>
      <c r="E19" s="45">
        <f t="shared" si="28"/>
        <v>2346</v>
      </c>
      <c r="F19" s="39">
        <v>18</v>
      </c>
      <c r="G19" s="40" t="str">
        <f>VLOOKUP(18,数据表!C1:D26,2,0)</f>
        <v>资金募集2.5h</v>
      </c>
      <c r="H19" s="40">
        <f>VLOOKUP(G19,B2:E27,4,0)</f>
        <v>2346</v>
      </c>
      <c r="I19" s="78">
        <f t="shared" si="10"/>
        <v>19430.67</v>
      </c>
      <c r="J19" s="78">
        <f t="shared" si="1"/>
        <v>0.120736958632924</v>
      </c>
      <c r="K19" s="78">
        <f t="shared" si="2"/>
        <v>0.0402456528776414</v>
      </c>
      <c r="L19" s="78">
        <f t="shared" si="3"/>
        <v>0.626147471942394</v>
      </c>
      <c r="M19" s="78">
        <f t="shared" si="4"/>
        <v>0.373852528057606</v>
      </c>
      <c r="N19" s="78">
        <f t="shared" si="11"/>
        <v>0.0616206307171162</v>
      </c>
      <c r="O19" s="78">
        <f t="shared" si="12"/>
        <v>0.0367916978130313</v>
      </c>
      <c r="P19" s="40">
        <f t="shared" ref="P19:U19" si="30">P18</f>
        <v>0.769954369883497</v>
      </c>
      <c r="Q19" s="40">
        <f>IF(VLOOKUP(18,A2:C27,3,0)&gt;(24-'倾向-优先级表'!I13),VLOOKUP(18,A2:C27,3,0),24-'倾向-优先级表'!I13)</f>
        <v>8</v>
      </c>
      <c r="R19" s="40">
        <f t="shared" si="5"/>
        <v>0.29433358250425</v>
      </c>
      <c r="S19" s="40">
        <f t="shared" si="30"/>
        <v>1</v>
      </c>
      <c r="T19" s="40">
        <f t="shared" si="30"/>
        <v>14</v>
      </c>
      <c r="U19" s="40">
        <f t="shared" si="30"/>
        <v>0.352435700437533</v>
      </c>
      <c r="V19" s="40">
        <f t="shared" si="6"/>
        <v>0</v>
      </c>
      <c r="W19" s="103">
        <f t="shared" si="7"/>
        <v>0.0129667077890217</v>
      </c>
      <c r="X19" s="32">
        <f>VLOOKUP(G19,G33:L58,6,0)</f>
        <v>12000</v>
      </c>
      <c r="Y19" s="32">
        <f>VLOOKUP(G19,G33:L58,4,0)</f>
        <v>2848.09090909091</v>
      </c>
      <c r="Z19" s="32">
        <f t="shared" si="8"/>
        <v>441.500373756376</v>
      </c>
      <c r="AA19" s="32">
        <f t="shared" si="9"/>
        <v>104.786100071314</v>
      </c>
      <c r="AB19" s="32"/>
      <c r="AC19" s="32"/>
      <c r="AD19" s="32"/>
    </row>
    <row r="20" ht="15.6" spans="1:30">
      <c r="A20" s="41">
        <f>数据表!I21</f>
        <v>7</v>
      </c>
      <c r="B20" s="42" t="s">
        <v>243</v>
      </c>
      <c r="C20" s="43">
        <v>4</v>
      </c>
      <c r="D20" s="44">
        <v>1793</v>
      </c>
      <c r="E20" s="45">
        <f t="shared" si="28"/>
        <v>1793</v>
      </c>
      <c r="F20" s="39">
        <v>19</v>
      </c>
      <c r="G20" s="40" t="str">
        <f>VLOOKUP(19,数据表!C1:D26,2,0)</f>
        <v>舰装解析1h</v>
      </c>
      <c r="H20" s="40">
        <f>VLOOKUP(G20,B2:E27,4,0)</f>
        <v>3173</v>
      </c>
      <c r="I20" s="78">
        <f t="shared" si="10"/>
        <v>17084.67</v>
      </c>
      <c r="J20" s="78">
        <f t="shared" si="1"/>
        <v>0.185722053747599</v>
      </c>
      <c r="K20" s="78">
        <f t="shared" si="2"/>
        <v>0.0619073512491998</v>
      </c>
      <c r="L20" s="78">
        <f t="shared" si="3"/>
        <v>0.475126751040941</v>
      </c>
      <c r="M20" s="78">
        <f t="shared" si="4"/>
        <v>0.524873248959059</v>
      </c>
      <c r="N20" s="78">
        <f t="shared" si="11"/>
        <v>0.029277610069717</v>
      </c>
      <c r="O20" s="78">
        <f t="shared" si="12"/>
        <v>0.0323430206473991</v>
      </c>
      <c r="P20" s="40">
        <f t="shared" ref="P20:U20" si="31">P19</f>
        <v>0.769954369883497</v>
      </c>
      <c r="Q20" s="40">
        <f>IF(VLOOKUP(19,A2:C27,3,0)&gt;(24-'倾向-优先级表'!I13),VLOOKUP(19,A2:C27,3,0),24-'倾向-优先级表'!I13)</f>
        <v>8</v>
      </c>
      <c r="R20" s="40">
        <f t="shared" si="5"/>
        <v>0.258744165179193</v>
      </c>
      <c r="S20" s="40">
        <f t="shared" si="31"/>
        <v>1</v>
      </c>
      <c r="T20" s="40">
        <f t="shared" si="31"/>
        <v>14</v>
      </c>
      <c r="U20" s="40">
        <f t="shared" si="31"/>
        <v>0.352435700437533</v>
      </c>
      <c r="V20" s="40">
        <f t="shared" si="6"/>
        <v>0</v>
      </c>
      <c r="W20" s="103">
        <f t="shared" si="7"/>
        <v>0.0113988351361317</v>
      </c>
      <c r="X20" s="32">
        <f>VLOOKUP(G20,G33:L58,6,0)</f>
        <v>12000</v>
      </c>
      <c r="Y20" s="32">
        <f>VLOOKUP(G20,G33:L58,4,0)</f>
        <v>2677.52727272727</v>
      </c>
      <c r="Z20" s="32">
        <f t="shared" si="8"/>
        <v>388.11624776879</v>
      </c>
      <c r="AA20" s="32">
        <f t="shared" si="9"/>
        <v>86.5993198657925</v>
      </c>
      <c r="AB20" s="32"/>
      <c r="AC20" s="32"/>
      <c r="AD20" s="32"/>
    </row>
    <row r="21" ht="15.6" spans="1:30">
      <c r="A21" s="41">
        <f>数据表!I22</f>
        <v>25</v>
      </c>
      <c r="B21" s="42" t="s">
        <v>245</v>
      </c>
      <c r="C21" s="43">
        <v>2</v>
      </c>
      <c r="D21" s="44">
        <v>709</v>
      </c>
      <c r="E21" s="45">
        <f t="shared" si="28"/>
        <v>709</v>
      </c>
      <c r="F21" s="39">
        <v>20</v>
      </c>
      <c r="G21" s="40" t="str">
        <f>VLOOKUP(20,数据表!C1:D26,2,0)</f>
        <v>试验品募集2h紫</v>
      </c>
      <c r="H21" s="40">
        <f>VLOOKUP(G21,B2:E27,4,0)</f>
        <v>482</v>
      </c>
      <c r="I21" s="78">
        <f t="shared" si="10"/>
        <v>13911.67</v>
      </c>
      <c r="J21" s="78">
        <f t="shared" si="1"/>
        <v>0.0346471703253456</v>
      </c>
      <c r="K21" s="78">
        <f t="shared" si="2"/>
        <v>0.0115490567751152</v>
      </c>
      <c r="L21" s="78">
        <f t="shared" si="3"/>
        <v>0.878958685792163</v>
      </c>
      <c r="M21" s="78">
        <f t="shared" si="4"/>
        <v>0.121041314207837</v>
      </c>
      <c r="N21" s="78">
        <f t="shared" si="11"/>
        <v>0.0257338096700139</v>
      </c>
      <c r="O21" s="78">
        <f t="shared" si="12"/>
        <v>0.00354380039970314</v>
      </c>
      <c r="P21" s="40">
        <f t="shared" ref="P21:U21" si="32">P20</f>
        <v>0.769954369883497</v>
      </c>
      <c r="Q21" s="40">
        <f>IF(VLOOKUP(20,A2:C27,3,0)&gt;(24-'倾向-优先级表'!I13),VLOOKUP(20,A2:C27,3,0),24-'倾向-优先级表'!I13)</f>
        <v>8</v>
      </c>
      <c r="R21" s="40">
        <f t="shared" si="5"/>
        <v>0.0283504031976251</v>
      </c>
      <c r="S21" s="40">
        <f t="shared" si="32"/>
        <v>1</v>
      </c>
      <c r="T21" s="40">
        <f t="shared" si="32"/>
        <v>14</v>
      </c>
      <c r="U21" s="40">
        <f t="shared" si="32"/>
        <v>0.352435700437533</v>
      </c>
      <c r="V21" s="40">
        <f t="shared" si="6"/>
        <v>0</v>
      </c>
      <c r="W21" s="103">
        <f t="shared" si="7"/>
        <v>0.00124896177608019</v>
      </c>
      <c r="X21" s="32">
        <f>VLOOKUP(G21,G33:L58,6,0)</f>
        <v>12000</v>
      </c>
      <c r="Y21" s="32">
        <f>VLOOKUP(G21,G33:L58,4,0)</f>
        <v>2162.61818181818</v>
      </c>
      <c r="Z21" s="32">
        <f t="shared" si="8"/>
        <v>42.5256047964377</v>
      </c>
      <c r="AA21" s="32">
        <f t="shared" si="9"/>
        <v>7.66388717713255</v>
      </c>
      <c r="AB21" s="32"/>
      <c r="AC21" s="32"/>
      <c r="AD21" s="32"/>
    </row>
    <row r="22" ht="15.6" spans="1:30">
      <c r="A22" s="41">
        <f>数据表!I23</f>
        <v>20</v>
      </c>
      <c r="B22" s="42" t="s">
        <v>246</v>
      </c>
      <c r="C22" s="43">
        <v>2</v>
      </c>
      <c r="D22" s="44">
        <v>482</v>
      </c>
      <c r="E22" s="45">
        <f t="shared" si="28"/>
        <v>482</v>
      </c>
      <c r="F22" s="39">
        <v>21</v>
      </c>
      <c r="G22" s="40" t="str">
        <f>VLOOKUP(21,数据表!C1:D26,2,0)</f>
        <v>魔方解析2h</v>
      </c>
      <c r="H22" s="40">
        <f>VLOOKUP(G22,B2:E27,4,0)</f>
        <v>2649</v>
      </c>
      <c r="I22" s="78">
        <f t="shared" si="10"/>
        <v>13429.67</v>
      </c>
      <c r="J22" s="78">
        <f t="shared" si="1"/>
        <v>0.197249820732751</v>
      </c>
      <c r="K22" s="78">
        <f t="shared" si="2"/>
        <v>0.0657499402442502</v>
      </c>
      <c r="L22" s="78">
        <f t="shared" si="3"/>
        <v>0.451510133907524</v>
      </c>
      <c r="M22" s="78">
        <f t="shared" si="4"/>
        <v>0.548489866092476</v>
      </c>
      <c r="N22" s="78">
        <f t="shared" si="11"/>
        <v>0.0116190758500587</v>
      </c>
      <c r="O22" s="78">
        <f t="shared" si="12"/>
        <v>0.0141147338199552</v>
      </c>
      <c r="P22" s="40">
        <f t="shared" ref="P22:U22" si="33">P21</f>
        <v>0.769954369883497</v>
      </c>
      <c r="Q22" s="40">
        <f>IF(VLOOKUP(21,A2:C27,3,0)&gt;(24-'倾向-优先级表'!I13),VLOOKUP(21,A2:C27,3,0),24-'倾向-优先级表'!I13)</f>
        <v>8</v>
      </c>
      <c r="R22" s="40">
        <f t="shared" si="5"/>
        <v>0.112917870559641</v>
      </c>
      <c r="S22" s="40">
        <f t="shared" si="33"/>
        <v>1</v>
      </c>
      <c r="T22" s="40">
        <f t="shared" si="33"/>
        <v>14</v>
      </c>
      <c r="U22" s="40">
        <f t="shared" si="33"/>
        <v>0.352435700437533</v>
      </c>
      <c r="V22" s="40">
        <f t="shared" si="6"/>
        <v>0</v>
      </c>
      <c r="W22" s="103">
        <f t="shared" si="7"/>
        <v>0.00497453610032524</v>
      </c>
      <c r="X22" s="32">
        <f>VLOOKUP(G22,G33:L58,6,0)</f>
        <v>16800</v>
      </c>
      <c r="Y22" s="32">
        <f>VLOOKUP(G22,G33:L58,4,0)</f>
        <v>4637.14909090909</v>
      </c>
      <c r="Z22" s="32">
        <f t="shared" si="8"/>
        <v>237.127528175247</v>
      </c>
      <c r="AA22" s="32">
        <f t="shared" si="9"/>
        <v>65.4521251016289</v>
      </c>
      <c r="AB22" s="32"/>
      <c r="AC22" s="32"/>
      <c r="AD22" s="32"/>
    </row>
    <row r="23" ht="15.6" spans="1:30">
      <c r="A23" s="41">
        <f>数据表!I24</f>
        <v>8</v>
      </c>
      <c r="B23" s="42" t="s">
        <v>247</v>
      </c>
      <c r="C23" s="43">
        <v>4</v>
      </c>
      <c r="D23" s="44">
        <v>361</v>
      </c>
      <c r="E23" s="45">
        <f t="shared" si="28"/>
        <v>361</v>
      </c>
      <c r="F23" s="39">
        <v>22</v>
      </c>
      <c r="G23" s="40" t="str">
        <f>VLOOKUP(22,数据表!C1:D26,2,0)</f>
        <v>资金募集1.5h</v>
      </c>
      <c r="H23" s="40">
        <f>VLOOKUP(G23,B2:E27,4,0)</f>
        <v>3436</v>
      </c>
      <c r="I23" s="78">
        <f t="shared" si="10"/>
        <v>10780.67</v>
      </c>
      <c r="J23" s="78">
        <f t="shared" si="1"/>
        <v>0.318718595411974</v>
      </c>
      <c r="K23" s="78">
        <f t="shared" si="2"/>
        <v>0.106239531803991</v>
      </c>
      <c r="L23" s="78">
        <f t="shared" si="3"/>
        <v>0.25259333588013</v>
      </c>
      <c r="M23" s="78">
        <f t="shared" si="4"/>
        <v>0.74740666411987</v>
      </c>
      <c r="N23" s="78">
        <f t="shared" si="11"/>
        <v>0.00293490112881058</v>
      </c>
      <c r="O23" s="78">
        <f t="shared" si="12"/>
        <v>0.00868417472124814</v>
      </c>
      <c r="P23" s="40">
        <f t="shared" ref="P23:U23" si="34">P22</f>
        <v>0.769954369883497</v>
      </c>
      <c r="Q23" s="40">
        <f>IF(VLOOKUP(22,A2:C27,3,0)&gt;(24-'倾向-优先级表'!I13),VLOOKUP(22,A2:C27,3,0),24-'倾向-优先级表'!I13)</f>
        <v>8</v>
      </c>
      <c r="R23" s="40">
        <f t="shared" si="5"/>
        <v>0.0694733977699851</v>
      </c>
      <c r="S23" s="40">
        <f t="shared" si="34"/>
        <v>1</v>
      </c>
      <c r="T23" s="40">
        <f t="shared" si="34"/>
        <v>14</v>
      </c>
      <c r="U23" s="40">
        <f t="shared" si="34"/>
        <v>0.352435700437533</v>
      </c>
      <c r="V23" s="40">
        <f t="shared" si="6"/>
        <v>0</v>
      </c>
      <c r="W23" s="103">
        <f t="shared" si="7"/>
        <v>0.003060613200605</v>
      </c>
      <c r="X23" s="32">
        <f>VLOOKUP(G23,G33:L58,6,0)</f>
        <v>12000</v>
      </c>
      <c r="Y23" s="32">
        <f>VLOOKUP(G23,G33:L58,4,0)</f>
        <v>2085.38181818182</v>
      </c>
      <c r="Z23" s="32">
        <f t="shared" si="8"/>
        <v>104.210096654978</v>
      </c>
      <c r="AA23" s="32">
        <f t="shared" si="9"/>
        <v>18.109820069605</v>
      </c>
      <c r="AB23" s="32"/>
      <c r="AC23" s="32"/>
      <c r="AD23" s="32"/>
    </row>
    <row r="24" ht="15.6" spans="1:30">
      <c r="A24" s="41">
        <f>数据表!I25</f>
        <v>15</v>
      </c>
      <c r="B24" s="42" t="s">
        <v>249</v>
      </c>
      <c r="C24" s="43">
        <v>6</v>
      </c>
      <c r="D24" s="44">
        <v>1757</v>
      </c>
      <c r="E24" s="45">
        <f t="shared" si="28"/>
        <v>1757</v>
      </c>
      <c r="F24" s="39">
        <v>23</v>
      </c>
      <c r="G24" s="40" t="str">
        <f>VLOOKUP(23,数据表!C1:D26,2,0)</f>
        <v>魔方解析4h</v>
      </c>
      <c r="H24" s="40">
        <f>VLOOKUP(G24,B2:E27,4,0)</f>
        <v>591</v>
      </c>
      <c r="I24" s="78">
        <f t="shared" si="10"/>
        <v>7344.67</v>
      </c>
      <c r="J24" s="78">
        <f t="shared" si="1"/>
        <v>0.0804665151735885</v>
      </c>
      <c r="K24" s="78">
        <f t="shared" si="2"/>
        <v>0.0268221717245295</v>
      </c>
      <c r="L24" s="78">
        <f t="shared" si="3"/>
        <v>0.73635469114538</v>
      </c>
      <c r="M24" s="78">
        <f t="shared" si="4"/>
        <v>0.26364530885462</v>
      </c>
      <c r="N24" s="78">
        <f t="shared" si="11"/>
        <v>0.00216112821424754</v>
      </c>
      <c r="O24" s="78">
        <f t="shared" si="12"/>
        <v>0.000773772914563041</v>
      </c>
      <c r="P24" s="40">
        <f t="shared" ref="P24:U24" si="35">P23</f>
        <v>0.769954369883497</v>
      </c>
      <c r="Q24" s="40">
        <f>IF(VLOOKUP(23,A2:C27,3,0)&gt;(24-'倾向-优先级表'!I13),VLOOKUP(23,A2:C27,3,0),24-'倾向-优先级表'!I13)</f>
        <v>8</v>
      </c>
      <c r="R24" s="40">
        <f t="shared" si="5"/>
        <v>0.00619018331650432</v>
      </c>
      <c r="S24" s="40">
        <f t="shared" si="35"/>
        <v>1</v>
      </c>
      <c r="T24" s="40">
        <f t="shared" si="35"/>
        <v>14</v>
      </c>
      <c r="U24" s="40">
        <f t="shared" si="35"/>
        <v>0.352435700437533</v>
      </c>
      <c r="V24" s="40">
        <f t="shared" si="6"/>
        <v>0</v>
      </c>
      <c r="W24" s="103">
        <f t="shared" si="7"/>
        <v>0.000272705199123617</v>
      </c>
      <c r="X24" s="32">
        <f>VLOOKUP(G24,G33:L58,6,0)</f>
        <v>20000</v>
      </c>
      <c r="Y24" s="32">
        <f>VLOOKUP(G24,G33:L58,4,0)</f>
        <v>6184.66909090909</v>
      </c>
      <c r="Z24" s="32">
        <f t="shared" si="8"/>
        <v>15.4754582912608</v>
      </c>
      <c r="AA24" s="32">
        <f t="shared" si="9"/>
        <v>4.78552942808068</v>
      </c>
      <c r="AB24" s="32"/>
      <c r="AC24" s="32"/>
      <c r="AD24" s="32"/>
    </row>
    <row r="25" ht="15.6" spans="1:30">
      <c r="A25" s="41">
        <f>数据表!I26</f>
        <v>10</v>
      </c>
      <c r="B25" s="42" t="s">
        <v>250</v>
      </c>
      <c r="C25" s="43">
        <v>8</v>
      </c>
      <c r="D25" s="44">
        <v>1244</v>
      </c>
      <c r="E25" s="45">
        <f t="shared" si="28"/>
        <v>1244</v>
      </c>
      <c r="F25" s="39">
        <v>24</v>
      </c>
      <c r="G25" s="40" t="str">
        <f>VLOOKUP(24,数据表!C1:D26,2,0)</f>
        <v>魔方解析1h</v>
      </c>
      <c r="H25" s="40">
        <f>VLOOKUP(G25,B2:E27,4,0)</f>
        <v>3995</v>
      </c>
      <c r="I25" s="78">
        <f t="shared" si="10"/>
        <v>6753.67</v>
      </c>
      <c r="J25" s="78">
        <f t="shared" si="1"/>
        <v>0.591530234672408</v>
      </c>
      <c r="K25" s="78">
        <f t="shared" si="2"/>
        <v>0.197176744890803</v>
      </c>
      <c r="L25" s="78">
        <f t="shared" si="3"/>
        <v>0.0439257955341485</v>
      </c>
      <c r="M25" s="78">
        <f t="shared" si="4"/>
        <v>0.956074204465852</v>
      </c>
      <c r="N25" s="78">
        <f t="shared" si="11"/>
        <v>9.4929276062117e-5</v>
      </c>
      <c r="O25" s="78">
        <f t="shared" si="12"/>
        <v>0.00206619893818543</v>
      </c>
      <c r="P25" s="40">
        <f t="shared" ref="P25:U25" si="36">P24</f>
        <v>0.769954369883497</v>
      </c>
      <c r="Q25" s="40">
        <f>IF(VLOOKUP(24,A2:C27,3,0)&gt;(24-'倾向-优先级表'!I13),VLOOKUP(24,A2:C27,3,0),24-'倾向-优先级表'!I13)</f>
        <v>8</v>
      </c>
      <c r="R25" s="40">
        <f t="shared" si="5"/>
        <v>0.0165295915054834</v>
      </c>
      <c r="S25" s="40">
        <f t="shared" si="36"/>
        <v>1</v>
      </c>
      <c r="T25" s="40">
        <f t="shared" si="36"/>
        <v>14</v>
      </c>
      <c r="U25" s="40">
        <f t="shared" si="36"/>
        <v>0.352435700437533</v>
      </c>
      <c r="V25" s="40">
        <f t="shared" si="6"/>
        <v>0</v>
      </c>
      <c r="W25" s="103">
        <f t="shared" si="7"/>
        <v>0.000728202270022668</v>
      </c>
      <c r="X25" s="32">
        <f>VLOOKUP(G25,G33:L58,6,0)</f>
        <v>14400</v>
      </c>
      <c r="Y25" s="32">
        <f>VLOOKUP(G25,G33:L58,4,0)</f>
        <v>3196.14545454545</v>
      </c>
      <c r="Z25" s="32">
        <f t="shared" si="8"/>
        <v>29.7532647098701</v>
      </c>
      <c r="AA25" s="32">
        <f t="shared" si="9"/>
        <v>6.603872344468</v>
      </c>
      <c r="AB25" s="32"/>
      <c r="AC25" s="32"/>
      <c r="AD25" s="32"/>
    </row>
    <row r="26" ht="15.6" spans="1:30">
      <c r="A26" s="41">
        <f>数据表!I27</f>
        <v>17</v>
      </c>
      <c r="B26" s="42" t="s">
        <v>252</v>
      </c>
      <c r="C26" s="43">
        <v>12</v>
      </c>
      <c r="D26" s="44">
        <v>452</v>
      </c>
      <c r="E26" s="45">
        <f t="shared" si="28"/>
        <v>452</v>
      </c>
      <c r="F26" s="39">
        <v>25</v>
      </c>
      <c r="G26" s="40" t="str">
        <f>VLOOKUP(25,数据表!C1:D26,2,0)</f>
        <v>试验品募集2h蓝</v>
      </c>
      <c r="H26" s="40">
        <f>VLOOKUP(G26,B2:E27,4,0)</f>
        <v>709</v>
      </c>
      <c r="I26" s="78">
        <f t="shared" si="10"/>
        <v>2758.67</v>
      </c>
      <c r="J26" s="78">
        <f t="shared" si="1"/>
        <v>0.257007905983681</v>
      </c>
      <c r="K26" s="78">
        <f t="shared" si="2"/>
        <v>0.0856693019945602</v>
      </c>
      <c r="L26" s="78">
        <f t="shared" si="3"/>
        <v>0.342893442705406</v>
      </c>
      <c r="M26" s="78">
        <f t="shared" si="4"/>
        <v>0.657106557294594</v>
      </c>
      <c r="N26" s="78">
        <f t="shared" si="11"/>
        <v>3.25506262824712e-5</v>
      </c>
      <c r="O26" s="78">
        <f t="shared" si="12"/>
        <v>6.23786497796458e-5</v>
      </c>
      <c r="P26" s="40">
        <f t="shared" ref="P26:U26" si="37">P25</f>
        <v>0.769954369883497</v>
      </c>
      <c r="Q26" s="40">
        <f>IF(VLOOKUP(25,A2:C27,3,0)&gt;(24-'倾向-优先级表'!I13),VLOOKUP(25,A2:C27,3,0),24-'倾向-优先级表'!I13)</f>
        <v>8</v>
      </c>
      <c r="R26" s="40">
        <f t="shared" si="5"/>
        <v>0.000499029198237167</v>
      </c>
      <c r="S26" s="40">
        <f t="shared" si="37"/>
        <v>1</v>
      </c>
      <c r="T26" s="40">
        <f t="shared" si="37"/>
        <v>14</v>
      </c>
      <c r="U26" s="40">
        <f t="shared" si="37"/>
        <v>0.352435700437533</v>
      </c>
      <c r="V26" s="40">
        <f t="shared" si="6"/>
        <v>0</v>
      </c>
      <c r="W26" s="103">
        <f t="shared" si="7"/>
        <v>2.1984463127437e-5</v>
      </c>
      <c r="X26" s="32">
        <f>VLOOKUP(G26,G33:L58,6,0)</f>
        <v>12000</v>
      </c>
      <c r="Y26" s="32">
        <f>VLOOKUP(G26,G33:L58,4,0)</f>
        <v>1853.67272727273</v>
      </c>
      <c r="Z26" s="32">
        <f t="shared" si="8"/>
        <v>0.74854379735575</v>
      </c>
      <c r="AA26" s="32">
        <f t="shared" si="9"/>
        <v>0.115629601860626</v>
      </c>
      <c r="AB26" s="32"/>
      <c r="AC26" s="32"/>
      <c r="AD26" s="32"/>
    </row>
    <row r="27" ht="16.35" spans="1:30">
      <c r="A27" s="47">
        <f>数据表!I28</f>
        <v>26</v>
      </c>
      <c r="B27" s="48" t="s">
        <v>254</v>
      </c>
      <c r="C27" s="49">
        <v>3</v>
      </c>
      <c r="D27" s="50">
        <v>769</v>
      </c>
      <c r="E27" s="51">
        <f t="shared" si="28"/>
        <v>769</v>
      </c>
      <c r="F27" s="52">
        <v>26</v>
      </c>
      <c r="G27" s="53" t="str">
        <f>VLOOKUP(26,数据表!C1:D26,2,0)</f>
        <v>研究委托3h</v>
      </c>
      <c r="H27" s="53">
        <f>VLOOKUP(G27,B2:E27,4,0)</f>
        <v>769</v>
      </c>
      <c r="I27" s="79">
        <f t="shared" si="10"/>
        <v>2049.67</v>
      </c>
      <c r="J27" s="79">
        <f t="shared" si="1"/>
        <v>0.375182346426498</v>
      </c>
      <c r="K27" s="79">
        <f t="shared" si="2"/>
        <v>0.125060782142166</v>
      </c>
      <c r="L27" s="79">
        <f t="shared" si="3"/>
        <v>0.186730664157909</v>
      </c>
      <c r="M27" s="79">
        <f t="shared" si="4"/>
        <v>0.813269335842091</v>
      </c>
      <c r="N27" s="79">
        <f t="shared" si="11"/>
        <v>6.07820006448173e-6</v>
      </c>
      <c r="O27" s="79">
        <f t="shared" si="12"/>
        <v>2.64724262179895e-5</v>
      </c>
      <c r="P27" s="53">
        <f t="shared" ref="P27:U27" si="38">P26</f>
        <v>0.769954369883497</v>
      </c>
      <c r="Q27" s="53">
        <f>IF(VLOOKUP(26,A2:C27,3,0)&gt;(24-'倾向-优先级表'!I13),VLOOKUP(26,A2:C27,3,0),24-'倾向-优先级表'!I13)</f>
        <v>8</v>
      </c>
      <c r="R27" s="53">
        <f t="shared" si="5"/>
        <v>0.000211779409743916</v>
      </c>
      <c r="S27" s="53">
        <f t="shared" si="38"/>
        <v>1</v>
      </c>
      <c r="T27" s="53">
        <f t="shared" si="38"/>
        <v>14</v>
      </c>
      <c r="U27" s="53">
        <f t="shared" si="38"/>
        <v>0.352435700437533</v>
      </c>
      <c r="V27" s="53">
        <f t="shared" si="6"/>
        <v>0</v>
      </c>
      <c r="W27" s="104">
        <f t="shared" si="7"/>
        <v>9.32982807641804e-6</v>
      </c>
      <c r="X27" s="32">
        <f>VLOOKUP(G27,G33:L58,6,0)</f>
        <v>4875</v>
      </c>
      <c r="Y27" s="32">
        <f>VLOOKUP(G27,G33:L58,4,0)</f>
        <v>1699.2</v>
      </c>
      <c r="Z27" s="32">
        <f t="shared" si="8"/>
        <v>0.129053077812699</v>
      </c>
      <c r="AA27" s="32">
        <f t="shared" si="9"/>
        <v>0.0449819466296077</v>
      </c>
      <c r="AB27" s="32"/>
      <c r="AC27" s="32"/>
      <c r="AD27" s="32"/>
    </row>
    <row r="28" spans="1:30">
      <c r="A28" s="54" t="s">
        <v>312</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313</v>
      </c>
      <c r="R28" s="106">
        <f>SUM(R2:R27)</f>
        <v>8.03453230086365</v>
      </c>
      <c r="S28" s="106" t="s">
        <v>314</v>
      </c>
      <c r="T28" s="106">
        <f>P27^R29</f>
        <v>0.769954369883497</v>
      </c>
      <c r="U28" s="106" t="s">
        <v>315</v>
      </c>
      <c r="V28" s="107">
        <f>白天模拟!V28+'倾向-优先级表'!P30*T29+(1-'倾向-优先级表'!P30)*T29^2</f>
        <v>0.352435700437533</v>
      </c>
      <c r="W28" s="32"/>
      <c r="X28" s="32"/>
      <c r="Y28" s="32"/>
      <c r="Z28" s="32">
        <f>SUM(Z2:Z27)</f>
        <v>12182.8365242045</v>
      </c>
      <c r="AA28" s="32">
        <f>SUM(AA2:AA27)</f>
        <v>6439.84186499673</v>
      </c>
      <c r="AB28" s="32">
        <f>100*AA28/Z28</f>
        <v>52.859954676419</v>
      </c>
      <c r="AC28" s="32"/>
      <c r="AD28" s="32"/>
    </row>
    <row r="29" ht="15.15" spans="1:30">
      <c r="A29" s="54" t="s">
        <v>316</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317</v>
      </c>
      <c r="R29" s="57">
        <v>1</v>
      </c>
      <c r="S29" s="57" t="s">
        <v>318</v>
      </c>
      <c r="T29" s="57">
        <f>R29*(1-P2)</f>
        <v>0.230045630116503</v>
      </c>
      <c r="U29" s="100"/>
      <c r="V29" s="101"/>
      <c r="W29" s="32"/>
      <c r="X29" s="32"/>
      <c r="Y29" s="32"/>
      <c r="Z29" s="32"/>
      <c r="AA29" s="32"/>
      <c r="AB29" s="32"/>
      <c r="AC29" s="32"/>
      <c r="AD29" s="32"/>
    </row>
    <row r="30" ht="15.15" spans="1:30">
      <c r="A30" s="56" t="s">
        <v>319</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row>
    <row r="31" ht="15.6" spans="1:30">
      <c r="A31" s="32"/>
      <c r="B31" s="32"/>
      <c r="C31" s="32"/>
      <c r="D31" s="32"/>
      <c r="E31" s="32"/>
      <c r="F31" s="32"/>
      <c r="G31" s="59" t="s">
        <v>80</v>
      </c>
      <c r="H31" s="60"/>
      <c r="I31" s="80" t="s">
        <v>320</v>
      </c>
      <c r="J31" s="80" t="s">
        <v>309</v>
      </c>
      <c r="K31" s="80" t="s">
        <v>321</v>
      </c>
      <c r="L31" s="81" t="s">
        <v>308</v>
      </c>
      <c r="M31" s="64" t="s">
        <v>322</v>
      </c>
      <c r="N31" s="59" t="s">
        <v>209</v>
      </c>
      <c r="O31" s="60"/>
      <c r="P31" s="60"/>
      <c r="Q31" s="60"/>
      <c r="R31" s="60"/>
      <c r="S31" s="108" t="s">
        <v>323</v>
      </c>
      <c r="T31" s="109"/>
      <c r="U31" s="109"/>
      <c r="V31" s="109"/>
      <c r="W31" s="110"/>
      <c r="X31" s="34" t="s">
        <v>324</v>
      </c>
      <c r="Y31" s="34" t="s">
        <v>325</v>
      </c>
      <c r="Z31" s="80" t="s">
        <v>326</v>
      </c>
      <c r="AA31" s="80"/>
      <c r="AB31" s="113" t="s">
        <v>327</v>
      </c>
      <c r="AC31" s="114"/>
      <c r="AD31" s="32"/>
    </row>
    <row r="32" ht="15.6" spans="1:30">
      <c r="A32" s="32"/>
      <c r="B32" s="32"/>
      <c r="C32" s="32"/>
      <c r="D32" s="32"/>
      <c r="E32" s="32"/>
      <c r="F32" s="32"/>
      <c r="G32" s="61" t="s">
        <v>212</v>
      </c>
      <c r="H32" s="62" t="s">
        <v>213</v>
      </c>
      <c r="I32" s="82"/>
      <c r="J32" s="82"/>
      <c r="K32" s="82"/>
      <c r="L32" s="83"/>
      <c r="M32" s="65"/>
      <c r="N32" s="61" t="s">
        <v>69</v>
      </c>
      <c r="O32" s="62" t="s">
        <v>74</v>
      </c>
      <c r="P32" s="62" t="s">
        <v>89</v>
      </c>
      <c r="Q32" s="67" t="s">
        <v>328</v>
      </c>
      <c r="R32" s="40" t="s">
        <v>113</v>
      </c>
      <c r="S32" s="62" t="s">
        <v>69</v>
      </c>
      <c r="T32" s="62" t="s">
        <v>74</v>
      </c>
      <c r="U32" s="62" t="s">
        <v>89</v>
      </c>
      <c r="V32" s="40" t="s">
        <v>328</v>
      </c>
      <c r="W32" s="40" t="s">
        <v>113</v>
      </c>
      <c r="X32" s="40"/>
      <c r="Y32" s="40"/>
      <c r="Z32" s="62" t="s">
        <v>112</v>
      </c>
      <c r="AA32" s="62" t="s">
        <v>111</v>
      </c>
      <c r="AB32" s="40" t="s">
        <v>112</v>
      </c>
      <c r="AC32" s="103" t="s">
        <v>111</v>
      </c>
      <c r="AD32" s="32"/>
    </row>
    <row r="33" ht="15.6" spans="1:29">
      <c r="A33" s="32"/>
      <c r="B33" s="32"/>
      <c r="C33" s="32"/>
      <c r="D33" s="32"/>
      <c r="E33" s="32"/>
      <c r="F33" s="32"/>
      <c r="G33" s="41" t="s">
        <v>205</v>
      </c>
      <c r="H33" s="43">
        <v>1</v>
      </c>
      <c r="I33" s="40">
        <f>VLOOKUP(G33,G2:W27,17,0)</f>
        <v>0.000728202270022668</v>
      </c>
      <c r="J33" s="40">
        <f>数据表!T3</f>
        <v>3196.14545454545</v>
      </c>
      <c r="K33" s="40">
        <f t="shared" ref="K33:K58" si="39">J33*I33</f>
        <v>2.32744037532263</v>
      </c>
      <c r="L33" s="40">
        <f>数据表!S3</f>
        <v>14400</v>
      </c>
      <c r="M33" s="65">
        <f t="shared" ref="M33:M58" si="40">I33*L33</f>
        <v>10.4861126883264</v>
      </c>
      <c r="N33" s="84">
        <v>2.8</v>
      </c>
      <c r="O33" s="85">
        <v>0.71</v>
      </c>
      <c r="P33" s="86">
        <v>0</v>
      </c>
      <c r="Q33" s="40">
        <v>0</v>
      </c>
      <c r="R33" s="40">
        <f>数据表!P3*H33</f>
        <v>40</v>
      </c>
      <c r="S33" s="40">
        <f t="shared" ref="S33:S58" si="41">N33*I33*H33</f>
        <v>0.00203896635606347</v>
      </c>
      <c r="T33" s="40">
        <f t="shared" ref="T33:T58" si="42">O33*I33*H33</f>
        <v>0.000517023611716094</v>
      </c>
      <c r="U33" s="40">
        <f t="shared" ref="U33:U58" si="43">P33*I33*H33</f>
        <v>0</v>
      </c>
      <c r="V33" s="40">
        <f t="shared" ref="V33:V58" si="44">I33*Q33</f>
        <v>0</v>
      </c>
      <c r="W33" s="40">
        <f t="shared" ref="W33:W58" si="45">R33*I33</f>
        <v>0.0291280908009067</v>
      </c>
      <c r="X33" s="40">
        <f>数据表!G3+数据表!F32</f>
        <v>1.25</v>
      </c>
      <c r="Y33" s="40">
        <f t="shared" ref="Y33:Y58" si="46">I33*X33</f>
        <v>0.000910252837528335</v>
      </c>
      <c r="Z33" s="115">
        <v>0</v>
      </c>
      <c r="AA33" s="115">
        <v>3</v>
      </c>
      <c r="AB33" s="40">
        <f t="shared" ref="AB33:AB58" si="47">Z33*I33</f>
        <v>0</v>
      </c>
      <c r="AC33" s="103">
        <f t="shared" ref="AC33:AC58" si="48">AA33*I33</f>
        <v>0.002184606810068</v>
      </c>
    </row>
    <row r="34" ht="15.6" spans="1:29">
      <c r="A34" s="32"/>
      <c r="B34" s="32"/>
      <c r="C34" s="32"/>
      <c r="D34" s="32"/>
      <c r="E34" s="32"/>
      <c r="F34" s="32"/>
      <c r="G34" s="41" t="s">
        <v>211</v>
      </c>
      <c r="H34" s="43">
        <v>2</v>
      </c>
      <c r="I34" s="40">
        <f>VLOOKUP(G34,G2:W27,17,0)</f>
        <v>0.00497453610032524</v>
      </c>
      <c r="J34" s="40">
        <f>数据表!T4</f>
        <v>4637.14909090909</v>
      </c>
      <c r="K34" s="40">
        <f t="shared" si="39"/>
        <v>23.0676655553176</v>
      </c>
      <c r="L34" s="40">
        <f>数据表!S4</f>
        <v>16800</v>
      </c>
      <c r="M34" s="65">
        <f t="shared" si="40"/>
        <v>83.572206485464</v>
      </c>
      <c r="N34" s="84">
        <v>1.96</v>
      </c>
      <c r="O34" s="85">
        <v>0.54</v>
      </c>
      <c r="P34" s="86">
        <v>0</v>
      </c>
      <c r="Q34" s="40">
        <v>0</v>
      </c>
      <c r="R34" s="40">
        <f>数据表!P4*H34</f>
        <v>60.32</v>
      </c>
      <c r="S34" s="40">
        <f t="shared" si="41"/>
        <v>0.0195001815132749</v>
      </c>
      <c r="T34" s="40">
        <f t="shared" si="42"/>
        <v>0.00537249898835126</v>
      </c>
      <c r="U34" s="40">
        <f t="shared" si="43"/>
        <v>0</v>
      </c>
      <c r="V34" s="40">
        <f t="shared" si="44"/>
        <v>0</v>
      </c>
      <c r="W34" s="40">
        <f t="shared" si="45"/>
        <v>0.300064017571618</v>
      </c>
      <c r="X34" s="40">
        <f>数据表!G4+数据表!F32</f>
        <v>2.25</v>
      </c>
      <c r="Y34" s="40">
        <f t="shared" si="46"/>
        <v>0.0111927062257318</v>
      </c>
      <c r="Z34" s="115">
        <v>0</v>
      </c>
      <c r="AA34" s="115">
        <v>6</v>
      </c>
      <c r="AB34" s="40">
        <f t="shared" si="47"/>
        <v>0</v>
      </c>
      <c r="AC34" s="103">
        <f t="shared" si="48"/>
        <v>0.0298472166019514</v>
      </c>
    </row>
    <row r="35" ht="15.6" spans="1:29">
      <c r="A35" s="32"/>
      <c r="B35" s="32"/>
      <c r="C35" s="32"/>
      <c r="D35" s="32"/>
      <c r="E35" s="32"/>
      <c r="F35" s="32"/>
      <c r="G35" s="41" t="s">
        <v>222</v>
      </c>
      <c r="H35" s="43">
        <v>4</v>
      </c>
      <c r="I35" s="40">
        <f>VLOOKUP(G35,G2:W27,17,0)</f>
        <v>0.000272705199123617</v>
      </c>
      <c r="J35" s="40">
        <f>数据表!T5</f>
        <v>6184.66909090909</v>
      </c>
      <c r="K35" s="40">
        <f t="shared" si="39"/>
        <v>1.68659141595004</v>
      </c>
      <c r="L35" s="40">
        <f>数据表!S5</f>
        <v>20000</v>
      </c>
      <c r="M35" s="65">
        <f t="shared" si="40"/>
        <v>5.45410398247233</v>
      </c>
      <c r="N35" s="84">
        <v>1.395</v>
      </c>
      <c r="O35" s="85">
        <v>0.31</v>
      </c>
      <c r="P35" s="86">
        <v>0</v>
      </c>
      <c r="Q35" s="40">
        <v>0</v>
      </c>
      <c r="R35" s="40">
        <f>数据表!P5*H35</f>
        <v>83.08</v>
      </c>
      <c r="S35" s="40">
        <f t="shared" si="41"/>
        <v>0.00152169501110978</v>
      </c>
      <c r="T35" s="40">
        <f t="shared" si="42"/>
        <v>0.000338154446913285</v>
      </c>
      <c r="U35" s="40">
        <f t="shared" si="43"/>
        <v>0</v>
      </c>
      <c r="V35" s="40">
        <f t="shared" si="44"/>
        <v>0</v>
      </c>
      <c r="W35" s="40">
        <f t="shared" si="45"/>
        <v>0.0226563479431901</v>
      </c>
      <c r="X35" s="40">
        <f>数据表!G5+数据表!F32</f>
        <v>4.25</v>
      </c>
      <c r="Y35" s="40">
        <f t="shared" si="46"/>
        <v>0.00115899709627537</v>
      </c>
      <c r="Z35" s="115">
        <v>0</v>
      </c>
      <c r="AA35" s="115">
        <v>10</v>
      </c>
      <c r="AB35" s="40">
        <f t="shared" si="47"/>
        <v>0</v>
      </c>
      <c r="AC35" s="103">
        <f t="shared" si="48"/>
        <v>0.00272705199123617</v>
      </c>
    </row>
    <row r="36" ht="15.6" spans="1:29">
      <c r="A36" s="32"/>
      <c r="B36" s="32"/>
      <c r="C36" s="32"/>
      <c r="D36" s="32"/>
      <c r="E36" s="32"/>
      <c r="F36" s="32"/>
      <c r="G36" s="41" t="s">
        <v>224</v>
      </c>
      <c r="H36" s="43">
        <v>0.5</v>
      </c>
      <c r="I36" s="40">
        <f>VLOOKUP(G36,G2:W27,17,0)</f>
        <v>0.00221106927488504</v>
      </c>
      <c r="J36" s="40">
        <f>数据表!T6</f>
        <v>5582.28545454545</v>
      </c>
      <c r="K36" s="40">
        <f t="shared" si="39"/>
        <v>12.3428198521831</v>
      </c>
      <c r="L36" s="40">
        <f>数据表!S6</f>
        <v>14400</v>
      </c>
      <c r="M36" s="65">
        <f t="shared" si="40"/>
        <v>31.8393975583446</v>
      </c>
      <c r="N36" s="84">
        <v>9.78</v>
      </c>
      <c r="O36" s="85">
        <v>1.97</v>
      </c>
      <c r="P36" s="86">
        <v>0</v>
      </c>
      <c r="Q36" s="40">
        <v>0</v>
      </c>
      <c r="R36" s="40">
        <f>数据表!P6*H36</f>
        <v>97.245</v>
      </c>
      <c r="S36" s="40">
        <f t="shared" si="41"/>
        <v>0.0108121287541879</v>
      </c>
      <c r="T36" s="40">
        <f t="shared" si="42"/>
        <v>0.00217790323576177</v>
      </c>
      <c r="U36" s="40">
        <f t="shared" si="43"/>
        <v>0</v>
      </c>
      <c r="V36" s="40">
        <f t="shared" si="44"/>
        <v>0</v>
      </c>
      <c r="W36" s="40">
        <f t="shared" si="45"/>
        <v>0.215015431636196</v>
      </c>
      <c r="X36" s="40">
        <f>数据表!G6+数据表!F32</f>
        <v>0.75</v>
      </c>
      <c r="Y36" s="40">
        <f t="shared" si="46"/>
        <v>0.00165830195616378</v>
      </c>
      <c r="Z36" s="115">
        <v>8000</v>
      </c>
      <c r="AA36" s="115">
        <v>5</v>
      </c>
      <c r="AB36" s="40">
        <f t="shared" si="47"/>
        <v>17.6885541990804</v>
      </c>
      <c r="AC36" s="103">
        <f t="shared" si="48"/>
        <v>0.0110553463744252</v>
      </c>
    </row>
    <row r="37" ht="15.6" spans="1:29">
      <c r="A37" s="32"/>
      <c r="B37" s="32"/>
      <c r="C37" s="32"/>
      <c r="D37" s="32"/>
      <c r="E37" s="32"/>
      <c r="F37" s="32"/>
      <c r="G37" s="41" t="s">
        <v>225</v>
      </c>
      <c r="H37" s="43">
        <v>1</v>
      </c>
      <c r="I37" s="40">
        <f>VLOOKUP(G37,G2:W27,17,0)</f>
        <v>0.0113988351361317</v>
      </c>
      <c r="J37" s="40">
        <f>数据表!T7</f>
        <v>2677.52727272727</v>
      </c>
      <c r="K37" s="40">
        <f t="shared" si="39"/>
        <v>30.5206919543145</v>
      </c>
      <c r="L37" s="40">
        <f>数据表!S7</f>
        <v>12000</v>
      </c>
      <c r="M37" s="65">
        <f t="shared" si="40"/>
        <v>136.786021633581</v>
      </c>
      <c r="N37" s="84">
        <v>0</v>
      </c>
      <c r="O37" s="85">
        <v>0</v>
      </c>
      <c r="P37" s="86">
        <v>0.052</v>
      </c>
      <c r="Q37" s="40">
        <v>0.44</v>
      </c>
      <c r="R37" s="40">
        <f>数据表!P7*H37</f>
        <v>0</v>
      </c>
      <c r="S37" s="40">
        <f t="shared" si="41"/>
        <v>0</v>
      </c>
      <c r="T37" s="40">
        <f t="shared" si="42"/>
        <v>0</v>
      </c>
      <c r="U37" s="40">
        <f t="shared" si="43"/>
        <v>0.000592739427078849</v>
      </c>
      <c r="V37" s="40">
        <f t="shared" si="44"/>
        <v>0.00501548745989795</v>
      </c>
      <c r="W37" s="40">
        <f t="shared" si="45"/>
        <v>0</v>
      </c>
      <c r="X37" s="40">
        <f>数据表!G7+数据表!F32</f>
        <v>1.25</v>
      </c>
      <c r="Y37" s="40">
        <f t="shared" si="46"/>
        <v>0.0142485439201646</v>
      </c>
      <c r="Z37" s="115">
        <v>0</v>
      </c>
      <c r="AA37" s="115">
        <v>0</v>
      </c>
      <c r="AB37" s="40">
        <f t="shared" si="47"/>
        <v>0</v>
      </c>
      <c r="AC37" s="103">
        <f t="shared" si="48"/>
        <v>0</v>
      </c>
    </row>
    <row r="38" ht="15.6" spans="1:29">
      <c r="A38" s="32"/>
      <c r="B38" s="32"/>
      <c r="C38" s="32"/>
      <c r="D38" s="32"/>
      <c r="E38" s="32"/>
      <c r="F38" s="32"/>
      <c r="G38" s="41" t="s">
        <v>226</v>
      </c>
      <c r="H38" s="43">
        <v>2</v>
      </c>
      <c r="I38" s="40">
        <f>VLOOKUP(G38,G2:W27,17,0)</f>
        <v>0.0862530215398017</v>
      </c>
      <c r="J38" s="40">
        <f>数据表!T8</f>
        <v>4840.14545454545</v>
      </c>
      <c r="K38" s="40">
        <f t="shared" si="39"/>
        <v>417.477170146682</v>
      </c>
      <c r="L38" s="40">
        <f>数据表!S8</f>
        <v>12000</v>
      </c>
      <c r="M38" s="65">
        <f t="shared" si="40"/>
        <v>1035.03625847762</v>
      </c>
      <c r="N38" s="84">
        <v>0</v>
      </c>
      <c r="O38" s="85">
        <v>0</v>
      </c>
      <c r="P38" s="86">
        <v>0.047</v>
      </c>
      <c r="Q38" s="40">
        <v>0.79</v>
      </c>
      <c r="R38" s="40">
        <f>数据表!P8*H38</f>
        <v>0</v>
      </c>
      <c r="S38" s="40">
        <f t="shared" si="41"/>
        <v>0</v>
      </c>
      <c r="T38" s="40">
        <f t="shared" si="42"/>
        <v>0</v>
      </c>
      <c r="U38" s="40">
        <f t="shared" si="43"/>
        <v>0.00810778402474136</v>
      </c>
      <c r="V38" s="40">
        <f t="shared" si="44"/>
        <v>0.0681398870164433</v>
      </c>
      <c r="W38" s="40">
        <f t="shared" si="45"/>
        <v>0</v>
      </c>
      <c r="X38" s="40">
        <f>数据表!G8+数据表!F32</f>
        <v>2.25</v>
      </c>
      <c r="Y38" s="40">
        <f t="shared" si="46"/>
        <v>0.194069298464554</v>
      </c>
      <c r="Z38" s="115">
        <v>0</v>
      </c>
      <c r="AA38" s="115">
        <v>0</v>
      </c>
      <c r="AB38" s="40">
        <f t="shared" si="47"/>
        <v>0</v>
      </c>
      <c r="AC38" s="103">
        <f t="shared" si="48"/>
        <v>0</v>
      </c>
    </row>
    <row r="39" ht="15.6" spans="1:29">
      <c r="A39" s="32"/>
      <c r="B39" s="32"/>
      <c r="C39" s="32"/>
      <c r="D39" s="32"/>
      <c r="E39" s="32"/>
      <c r="F39" s="32"/>
      <c r="G39" s="41" t="s">
        <v>228</v>
      </c>
      <c r="H39" s="43">
        <v>4</v>
      </c>
      <c r="I39" s="40">
        <f>VLOOKUP(G39,G2:W27,17,0)</f>
        <v>0.0959049132870901</v>
      </c>
      <c r="J39" s="40">
        <f>数据表!T9</f>
        <v>10504.1454545455</v>
      </c>
      <c r="K39" s="40">
        <f t="shared" si="39"/>
        <v>1007.39915897316</v>
      </c>
      <c r="L39" s="40">
        <f>数据表!S9</f>
        <v>12000</v>
      </c>
      <c r="M39" s="65">
        <f t="shared" si="40"/>
        <v>1150.85895944508</v>
      </c>
      <c r="N39" s="84">
        <v>0</v>
      </c>
      <c r="O39" s="85">
        <v>0</v>
      </c>
      <c r="P39" s="86">
        <v>0.051</v>
      </c>
      <c r="Q39" s="40">
        <v>1.4</v>
      </c>
      <c r="R39" s="40">
        <f>数据表!P9*H39</f>
        <v>0</v>
      </c>
      <c r="S39" s="40">
        <f t="shared" si="41"/>
        <v>0</v>
      </c>
      <c r="T39" s="40">
        <f t="shared" si="42"/>
        <v>0</v>
      </c>
      <c r="U39" s="40">
        <f t="shared" si="43"/>
        <v>0.0195646023105664</v>
      </c>
      <c r="V39" s="40">
        <f t="shared" si="44"/>
        <v>0.134266878601926</v>
      </c>
      <c r="W39" s="40">
        <f t="shared" si="45"/>
        <v>0</v>
      </c>
      <c r="X39" s="40">
        <f>数据表!G9+数据表!F32</f>
        <v>4.25</v>
      </c>
      <c r="Y39" s="40">
        <f t="shared" si="46"/>
        <v>0.407595881470133</v>
      </c>
      <c r="Z39" s="115">
        <v>0</v>
      </c>
      <c r="AA39" s="115">
        <v>0</v>
      </c>
      <c r="AB39" s="40">
        <f t="shared" si="47"/>
        <v>0</v>
      </c>
      <c r="AC39" s="103">
        <f t="shared" si="48"/>
        <v>0</v>
      </c>
    </row>
    <row r="40" ht="15.6" spans="1:29">
      <c r="A40" s="32"/>
      <c r="B40" s="32"/>
      <c r="C40" s="32"/>
      <c r="D40" s="32"/>
      <c r="E40" s="32"/>
      <c r="F40" s="32"/>
      <c r="G40" s="41" t="s">
        <v>230</v>
      </c>
      <c r="H40" s="43">
        <v>0.5</v>
      </c>
      <c r="I40" s="40">
        <f>VLOOKUP(G40,G2:W27,17,0)</f>
        <v>0.051410662064686</v>
      </c>
      <c r="J40" s="40">
        <f>数据表!T10</f>
        <v>21008.2909090909</v>
      </c>
      <c r="K40" s="40">
        <f t="shared" si="39"/>
        <v>1080.05014448389</v>
      </c>
      <c r="L40" s="40">
        <f>数据表!S10</f>
        <v>12000</v>
      </c>
      <c r="M40" s="65">
        <f t="shared" si="40"/>
        <v>616.927944776232</v>
      </c>
      <c r="N40" s="84">
        <v>0</v>
      </c>
      <c r="O40" s="85">
        <v>0</v>
      </c>
      <c r="P40" s="86">
        <v>0.816</v>
      </c>
      <c r="Q40" s="40">
        <v>3.4</v>
      </c>
      <c r="R40" s="40">
        <f>数据表!P10*H40</f>
        <v>0</v>
      </c>
      <c r="S40" s="40">
        <f t="shared" si="41"/>
        <v>0</v>
      </c>
      <c r="T40" s="40">
        <f t="shared" si="42"/>
        <v>0</v>
      </c>
      <c r="U40" s="40">
        <f t="shared" si="43"/>
        <v>0.0209755501223919</v>
      </c>
      <c r="V40" s="40">
        <f t="shared" si="44"/>
        <v>0.174796251019932</v>
      </c>
      <c r="W40" s="40">
        <f t="shared" si="45"/>
        <v>0</v>
      </c>
      <c r="X40" s="40">
        <f>数据表!G10+数据表!F32</f>
        <v>0.75</v>
      </c>
      <c r="Y40" s="40">
        <f t="shared" si="46"/>
        <v>0.0385579965485145</v>
      </c>
      <c r="Z40" s="115">
        <v>5000</v>
      </c>
      <c r="AA40" s="115">
        <v>0</v>
      </c>
      <c r="AB40" s="40">
        <f t="shared" si="47"/>
        <v>257.05331032343</v>
      </c>
      <c r="AC40" s="103">
        <f t="shared" si="48"/>
        <v>0</v>
      </c>
    </row>
    <row r="41" ht="15.6" spans="1:29">
      <c r="A41" s="32"/>
      <c r="B41" s="32"/>
      <c r="C41" s="32"/>
      <c r="D41" s="32"/>
      <c r="E41" s="32"/>
      <c r="F41" s="32"/>
      <c r="G41" s="41" t="s">
        <v>231</v>
      </c>
      <c r="H41" s="43">
        <v>2.5</v>
      </c>
      <c r="I41" s="40">
        <f>VLOOKUP(G41,G2:W27,17,0)</f>
        <v>0.0240809426548507</v>
      </c>
      <c r="J41" s="40">
        <f>数据表!T11</f>
        <v>3282.54545454545</v>
      </c>
      <c r="K41" s="40">
        <f t="shared" si="39"/>
        <v>79.0467888528498</v>
      </c>
      <c r="L41" s="40">
        <f>数据表!S11</f>
        <v>12000</v>
      </c>
      <c r="M41" s="65">
        <f t="shared" si="40"/>
        <v>288.971311858208</v>
      </c>
      <c r="N41" s="84">
        <v>0.92</v>
      </c>
      <c r="O41" s="85">
        <v>0</v>
      </c>
      <c r="P41" s="86">
        <v>0.014</v>
      </c>
      <c r="Q41" s="40">
        <v>0.37</v>
      </c>
      <c r="R41" s="40">
        <f>数据表!P11*H41</f>
        <v>0</v>
      </c>
      <c r="S41" s="40">
        <f t="shared" si="41"/>
        <v>0.0553861681061565</v>
      </c>
      <c r="T41" s="40">
        <f t="shared" si="42"/>
        <v>0</v>
      </c>
      <c r="U41" s="40">
        <f t="shared" si="43"/>
        <v>0.000842832992919773</v>
      </c>
      <c r="V41" s="40">
        <f t="shared" si="44"/>
        <v>0.00890994878229474</v>
      </c>
      <c r="W41" s="40">
        <f t="shared" si="45"/>
        <v>0</v>
      </c>
      <c r="X41" s="40">
        <f>数据表!G11+数据表!F32</f>
        <v>2.75</v>
      </c>
      <c r="Y41" s="40">
        <f t="shared" si="46"/>
        <v>0.0662225923008393</v>
      </c>
      <c r="Z41" s="115">
        <v>3000</v>
      </c>
      <c r="AA41" s="115">
        <v>0</v>
      </c>
      <c r="AB41" s="40">
        <f t="shared" si="47"/>
        <v>72.2428279645519</v>
      </c>
      <c r="AC41" s="103">
        <f t="shared" si="48"/>
        <v>0</v>
      </c>
    </row>
    <row r="42" ht="15.6" spans="1:29">
      <c r="A42" s="32"/>
      <c r="B42" s="32"/>
      <c r="C42" s="32"/>
      <c r="D42" s="32"/>
      <c r="E42" s="32"/>
      <c r="F42" s="32"/>
      <c r="G42" s="41" t="s">
        <v>232</v>
      </c>
      <c r="H42" s="43">
        <v>5</v>
      </c>
      <c r="I42" s="40">
        <f>VLOOKUP(G42,G2:W27,17,0)</f>
        <v>0.116175331328908</v>
      </c>
      <c r="J42" s="40">
        <f>数据表!T12</f>
        <v>4988.18181818182</v>
      </c>
      <c r="K42" s="40">
        <f t="shared" si="39"/>
        <v>579.503675456106</v>
      </c>
      <c r="L42" s="40">
        <f>数据表!S12</f>
        <v>12000</v>
      </c>
      <c r="M42" s="65">
        <f t="shared" si="40"/>
        <v>1394.10397594689</v>
      </c>
      <c r="N42" s="84">
        <v>0.75</v>
      </c>
      <c r="O42" s="85">
        <v>0</v>
      </c>
      <c r="P42" s="86">
        <v>0.01</v>
      </c>
      <c r="Q42" s="40">
        <v>0.66</v>
      </c>
      <c r="R42" s="40">
        <f>数据表!P12*H42</f>
        <v>0</v>
      </c>
      <c r="S42" s="40">
        <f t="shared" si="41"/>
        <v>0.435657492483404</v>
      </c>
      <c r="T42" s="40">
        <f t="shared" si="42"/>
        <v>0</v>
      </c>
      <c r="U42" s="40">
        <f t="shared" si="43"/>
        <v>0.00580876656644539</v>
      </c>
      <c r="V42" s="40">
        <f t="shared" si="44"/>
        <v>0.0766757186770791</v>
      </c>
      <c r="W42" s="40">
        <f t="shared" si="45"/>
        <v>0</v>
      </c>
      <c r="X42" s="40">
        <f>数据表!G12+数据表!F32</f>
        <v>5.25</v>
      </c>
      <c r="Y42" s="40">
        <f t="shared" si="46"/>
        <v>0.609920489476766</v>
      </c>
      <c r="Z42" s="115">
        <v>5000</v>
      </c>
      <c r="AA42" s="115">
        <v>0</v>
      </c>
      <c r="AB42" s="40">
        <f t="shared" si="47"/>
        <v>580.876656644539</v>
      </c>
      <c r="AC42" s="103">
        <f t="shared" si="48"/>
        <v>0</v>
      </c>
    </row>
    <row r="43" ht="15.6" spans="1:29">
      <c r="A43" s="32"/>
      <c r="B43" s="32"/>
      <c r="C43" s="32"/>
      <c r="D43" s="32"/>
      <c r="E43" s="32"/>
      <c r="F43" s="32"/>
      <c r="G43" s="41" t="s">
        <v>233</v>
      </c>
      <c r="H43" s="43">
        <v>8</v>
      </c>
      <c r="I43" s="40">
        <f>VLOOKUP(G43,G2:W27,17,0)</f>
        <v>0.0443664362633549</v>
      </c>
      <c r="J43" s="40">
        <f>数据表!T13</f>
        <v>8393.01818181818</v>
      </c>
      <c r="K43" s="40">
        <f t="shared" si="39"/>
        <v>372.368306220815</v>
      </c>
      <c r="L43" s="40">
        <f>数据表!S13</f>
        <v>12000</v>
      </c>
      <c r="M43" s="65">
        <f t="shared" si="40"/>
        <v>532.397235160259</v>
      </c>
      <c r="N43" s="84">
        <v>0.75</v>
      </c>
      <c r="O43" s="85">
        <v>0</v>
      </c>
      <c r="P43" s="86">
        <v>0.011</v>
      </c>
      <c r="Q43" s="40">
        <v>0.9</v>
      </c>
      <c r="R43" s="40">
        <f>数据表!P13*H43</f>
        <v>0</v>
      </c>
      <c r="S43" s="40">
        <f t="shared" si="41"/>
        <v>0.266198617580129</v>
      </c>
      <c r="T43" s="40">
        <f t="shared" si="42"/>
        <v>0</v>
      </c>
      <c r="U43" s="40">
        <f t="shared" si="43"/>
        <v>0.00390424639117523</v>
      </c>
      <c r="V43" s="40">
        <f t="shared" si="44"/>
        <v>0.0399297926370194</v>
      </c>
      <c r="W43" s="40">
        <f t="shared" si="45"/>
        <v>0</v>
      </c>
      <c r="X43" s="40">
        <f>数据表!G13+数据表!F32</f>
        <v>8.25</v>
      </c>
      <c r="Y43" s="40">
        <f t="shared" si="46"/>
        <v>0.366023099172678</v>
      </c>
      <c r="Z43" s="115">
        <v>8000</v>
      </c>
      <c r="AA43" s="115">
        <v>0</v>
      </c>
      <c r="AB43" s="40">
        <f t="shared" si="47"/>
        <v>354.931490106839</v>
      </c>
      <c r="AC43" s="103">
        <f t="shared" si="48"/>
        <v>0</v>
      </c>
    </row>
    <row r="44" ht="15.6" spans="1:29">
      <c r="A44" s="32"/>
      <c r="B44" s="32"/>
      <c r="C44" s="32"/>
      <c r="D44" s="32"/>
      <c r="E44" s="32"/>
      <c r="F44" s="32"/>
      <c r="G44" s="41" t="s">
        <v>235</v>
      </c>
      <c r="H44" s="43">
        <v>0.5</v>
      </c>
      <c r="I44" s="40">
        <f>VLOOKUP(G44,G2:W27,17,0)</f>
        <v>0.00833362926037525</v>
      </c>
      <c r="J44" s="40">
        <f>数据表!T14</f>
        <v>12103.5818181818</v>
      </c>
      <c r="K44" s="40">
        <f t="shared" si="39"/>
        <v>100.866763595346</v>
      </c>
      <c r="L44" s="40">
        <f>数据表!S14</f>
        <v>16000</v>
      </c>
      <c r="M44" s="65">
        <f t="shared" si="40"/>
        <v>133.338068166004</v>
      </c>
      <c r="N44" s="84">
        <v>17.61</v>
      </c>
      <c r="O44" s="85">
        <v>0</v>
      </c>
      <c r="P44" s="86">
        <v>0.25</v>
      </c>
      <c r="Q44" s="40">
        <v>1.39</v>
      </c>
      <c r="R44" s="40">
        <f>数据表!P14*H44</f>
        <v>0</v>
      </c>
      <c r="S44" s="40">
        <f t="shared" si="41"/>
        <v>0.0733776056376041</v>
      </c>
      <c r="T44" s="40">
        <f t="shared" si="42"/>
        <v>0</v>
      </c>
      <c r="U44" s="40">
        <f t="shared" si="43"/>
        <v>0.00104170365754691</v>
      </c>
      <c r="V44" s="40">
        <f t="shared" si="44"/>
        <v>0.0115837446719216</v>
      </c>
      <c r="W44" s="40">
        <f t="shared" si="45"/>
        <v>0</v>
      </c>
      <c r="X44" s="40">
        <f>数据表!G14+数据表!F32</f>
        <v>0.75</v>
      </c>
      <c r="Y44" s="40">
        <f t="shared" si="46"/>
        <v>0.00625022194528144</v>
      </c>
      <c r="Z44" s="115">
        <v>5000</v>
      </c>
      <c r="AA44" s="115">
        <v>5</v>
      </c>
      <c r="AB44" s="40">
        <f t="shared" si="47"/>
        <v>41.6681463018763</v>
      </c>
      <c r="AC44" s="103">
        <f t="shared" si="48"/>
        <v>0.0416681463018763</v>
      </c>
    </row>
    <row r="45" ht="15.6" spans="1:29">
      <c r="A45" s="32"/>
      <c r="B45" s="32"/>
      <c r="C45" s="32"/>
      <c r="D45" s="32"/>
      <c r="E45" s="32"/>
      <c r="F45" s="32"/>
      <c r="G45" s="41" t="s">
        <v>236</v>
      </c>
      <c r="H45" s="43">
        <v>2.5</v>
      </c>
      <c r="I45" s="40">
        <f>VLOOKUP(G45,G2:W27,17,0)</f>
        <v>0.0872671240590119</v>
      </c>
      <c r="J45" s="40">
        <f>数据表!T15</f>
        <v>3765.27272727273</v>
      </c>
      <c r="K45" s="40">
        <f t="shared" si="39"/>
        <v>328.584522206923</v>
      </c>
      <c r="L45" s="40">
        <f>数据表!S15</f>
        <v>12000</v>
      </c>
      <c r="M45" s="65">
        <f t="shared" si="40"/>
        <v>1047.20548870814</v>
      </c>
      <c r="N45" s="84">
        <v>0</v>
      </c>
      <c r="O45" s="85">
        <v>0.61</v>
      </c>
      <c r="P45" s="86">
        <v>0.014</v>
      </c>
      <c r="Q45" s="40">
        <v>0.39</v>
      </c>
      <c r="R45" s="40">
        <f>数据表!P15*H45</f>
        <v>0</v>
      </c>
      <c r="S45" s="40">
        <f t="shared" si="41"/>
        <v>0</v>
      </c>
      <c r="T45" s="40">
        <f t="shared" si="42"/>
        <v>0.133082364189993</v>
      </c>
      <c r="U45" s="40">
        <f t="shared" si="43"/>
        <v>0.00305434934206542</v>
      </c>
      <c r="V45" s="40">
        <f t="shared" si="44"/>
        <v>0.0340341783830147</v>
      </c>
      <c r="W45" s="40">
        <f t="shared" si="45"/>
        <v>0</v>
      </c>
      <c r="X45" s="40">
        <f>数据表!G15+数据表!F32</f>
        <v>2.75</v>
      </c>
      <c r="Y45" s="40">
        <f t="shared" si="46"/>
        <v>0.239984591162283</v>
      </c>
      <c r="Z45" s="115">
        <v>3000</v>
      </c>
      <c r="AA45" s="115">
        <v>0</v>
      </c>
      <c r="AB45" s="40">
        <f t="shared" si="47"/>
        <v>261.801372177036</v>
      </c>
      <c r="AC45" s="103">
        <f t="shared" si="48"/>
        <v>0</v>
      </c>
    </row>
    <row r="46" ht="15.6" spans="1:29">
      <c r="A46" s="32"/>
      <c r="B46" s="32"/>
      <c r="C46" s="32"/>
      <c r="D46" s="32"/>
      <c r="E46" s="32"/>
      <c r="F46" s="32"/>
      <c r="G46" s="41" t="s">
        <v>237</v>
      </c>
      <c r="H46" s="43">
        <v>5</v>
      </c>
      <c r="I46" s="40">
        <f>VLOOKUP(G46,G2:W27,17,0)</f>
        <v>0.0987217870294997</v>
      </c>
      <c r="J46" s="40">
        <f>数据表!T16</f>
        <v>5857.09090909091</v>
      </c>
      <c r="K46" s="40">
        <f t="shared" si="39"/>
        <v>578.222481339691</v>
      </c>
      <c r="L46" s="40">
        <f>数据表!S16</f>
        <v>12000</v>
      </c>
      <c r="M46" s="65">
        <f t="shared" si="40"/>
        <v>1184.661444354</v>
      </c>
      <c r="N46" s="84">
        <v>0</v>
      </c>
      <c r="O46" s="85">
        <v>0.51</v>
      </c>
      <c r="P46" s="86">
        <v>0.01</v>
      </c>
      <c r="Q46" s="40">
        <v>0.55</v>
      </c>
      <c r="R46" s="40">
        <f>数据表!P16*H46</f>
        <v>0</v>
      </c>
      <c r="S46" s="40">
        <f t="shared" si="41"/>
        <v>0</v>
      </c>
      <c r="T46" s="40">
        <f t="shared" si="42"/>
        <v>0.251740556925224</v>
      </c>
      <c r="U46" s="40">
        <f t="shared" si="43"/>
        <v>0.00493608935147498</v>
      </c>
      <c r="V46" s="40">
        <f t="shared" si="44"/>
        <v>0.0542969828662248</v>
      </c>
      <c r="W46" s="40">
        <f t="shared" si="45"/>
        <v>0</v>
      </c>
      <c r="X46" s="40">
        <f>数据表!G16+数据表!F32</f>
        <v>5.25</v>
      </c>
      <c r="Y46" s="40">
        <f t="shared" si="46"/>
        <v>0.518289381904873</v>
      </c>
      <c r="Z46" s="115">
        <v>5000</v>
      </c>
      <c r="AA46" s="115">
        <v>0</v>
      </c>
      <c r="AB46" s="40">
        <f t="shared" si="47"/>
        <v>493.608935147498</v>
      </c>
      <c r="AC46" s="103">
        <f t="shared" si="48"/>
        <v>0</v>
      </c>
    </row>
    <row r="47" ht="15.6" spans="1:29">
      <c r="A47" s="32"/>
      <c r="B47" s="32"/>
      <c r="C47" s="32"/>
      <c r="D47" s="32"/>
      <c r="E47" s="32"/>
      <c r="F47" s="32"/>
      <c r="G47" s="41" t="s">
        <v>238</v>
      </c>
      <c r="H47" s="43">
        <v>8</v>
      </c>
      <c r="I47" s="40">
        <f>VLOOKUP(G47,G2:W27,17,0)</f>
        <v>0.0304039967866852</v>
      </c>
      <c r="J47" s="40">
        <f>数据表!T17</f>
        <v>9783.27272727273</v>
      </c>
      <c r="K47" s="40">
        <f t="shared" si="39"/>
        <v>297.450592563265</v>
      </c>
      <c r="L47" s="40">
        <f>数据表!S17</f>
        <v>12000</v>
      </c>
      <c r="M47" s="65">
        <f t="shared" si="40"/>
        <v>364.847961440222</v>
      </c>
      <c r="N47" s="84">
        <v>0</v>
      </c>
      <c r="O47" s="85">
        <v>0.51</v>
      </c>
      <c r="P47" s="86">
        <v>0.011</v>
      </c>
      <c r="Q47" s="40">
        <v>1.05</v>
      </c>
      <c r="R47" s="40">
        <f>数据表!P17*H47</f>
        <v>0</v>
      </c>
      <c r="S47" s="40">
        <f t="shared" si="41"/>
        <v>0</v>
      </c>
      <c r="T47" s="40">
        <f t="shared" si="42"/>
        <v>0.124048306889675</v>
      </c>
      <c r="U47" s="40">
        <f t="shared" si="43"/>
        <v>0.00267555171722829</v>
      </c>
      <c r="V47" s="40">
        <f t="shared" si="44"/>
        <v>0.0319241966260194</v>
      </c>
      <c r="W47" s="40">
        <f t="shared" si="45"/>
        <v>0</v>
      </c>
      <c r="X47" s="40">
        <f>数据表!G17+数据表!F32</f>
        <v>8.25</v>
      </c>
      <c r="Y47" s="40">
        <f t="shared" si="46"/>
        <v>0.250832973490153</v>
      </c>
      <c r="Z47" s="115">
        <v>8000</v>
      </c>
      <c r="AA47" s="115">
        <v>0</v>
      </c>
      <c r="AB47" s="40">
        <f t="shared" si="47"/>
        <v>243.231974293481</v>
      </c>
      <c r="AC47" s="103">
        <f t="shared" si="48"/>
        <v>0</v>
      </c>
    </row>
    <row r="48" ht="15.6" spans="1:29">
      <c r="A48" s="32"/>
      <c r="B48" s="32"/>
      <c r="C48" s="32"/>
      <c r="D48" s="32"/>
      <c r="E48" s="32"/>
      <c r="F48" s="32"/>
      <c r="G48" s="41" t="s">
        <v>240</v>
      </c>
      <c r="H48" s="43">
        <v>0.5</v>
      </c>
      <c r="I48" s="40">
        <f>VLOOKUP(G48,G2:W27,17,0)</f>
        <v>0.0059524837041338</v>
      </c>
      <c r="J48" s="40">
        <f>数据表!T18</f>
        <v>14011.9636363636</v>
      </c>
      <c r="K48" s="40">
        <f t="shared" si="39"/>
        <v>83.4059852083699</v>
      </c>
      <c r="L48" s="40">
        <f>数据表!S18</f>
        <v>16000</v>
      </c>
      <c r="M48" s="65">
        <f t="shared" si="40"/>
        <v>95.2397392661407</v>
      </c>
      <c r="N48" s="84">
        <v>0</v>
      </c>
      <c r="O48" s="85">
        <v>11.77</v>
      </c>
      <c r="P48" s="86">
        <v>0.25</v>
      </c>
      <c r="Q48" s="40">
        <v>1.38</v>
      </c>
      <c r="R48" s="40">
        <f>数据表!P18*H48</f>
        <v>0</v>
      </c>
      <c r="S48" s="40">
        <f t="shared" si="41"/>
        <v>0</v>
      </c>
      <c r="T48" s="40">
        <f t="shared" si="42"/>
        <v>0.0350303665988274</v>
      </c>
      <c r="U48" s="40">
        <f t="shared" si="43"/>
        <v>0.000744060463016725</v>
      </c>
      <c r="V48" s="40">
        <f t="shared" si="44"/>
        <v>0.00821442751170464</v>
      </c>
      <c r="W48" s="40">
        <f t="shared" si="45"/>
        <v>0</v>
      </c>
      <c r="X48" s="40">
        <f>数据表!G18+数据表!F32</f>
        <v>0.75</v>
      </c>
      <c r="Y48" s="40">
        <f t="shared" si="46"/>
        <v>0.00446436277810035</v>
      </c>
      <c r="Z48" s="115">
        <v>5000</v>
      </c>
      <c r="AA48" s="115">
        <v>5</v>
      </c>
      <c r="AB48" s="40">
        <f t="shared" si="47"/>
        <v>29.762418520669</v>
      </c>
      <c r="AC48" s="103">
        <f t="shared" si="48"/>
        <v>0.029762418520669</v>
      </c>
    </row>
    <row r="49" ht="15.6" spans="1:29">
      <c r="A49" s="32"/>
      <c r="B49" s="32"/>
      <c r="C49" s="32"/>
      <c r="D49" s="32"/>
      <c r="E49" s="32"/>
      <c r="F49" s="32"/>
      <c r="G49" s="41" t="s">
        <v>241</v>
      </c>
      <c r="H49" s="43">
        <v>1.5</v>
      </c>
      <c r="I49" s="40">
        <f>VLOOKUP(G49,G2:W27,17,0)</f>
        <v>0.003060613200605</v>
      </c>
      <c r="J49" s="40">
        <f>数据表!T19</f>
        <v>2085.38181818182</v>
      </c>
      <c r="K49" s="40">
        <f t="shared" si="39"/>
        <v>6.38254712102894</v>
      </c>
      <c r="L49" s="40">
        <f>数据表!S19</f>
        <v>12000</v>
      </c>
      <c r="M49" s="65">
        <f t="shared" si="40"/>
        <v>36.7273584072601</v>
      </c>
      <c r="N49" s="84">
        <v>0.58</v>
      </c>
      <c r="O49" s="85">
        <v>0.15</v>
      </c>
      <c r="P49" s="86">
        <v>0.016</v>
      </c>
      <c r="Q49" s="40">
        <v>0.27</v>
      </c>
      <c r="R49" s="40">
        <f>数据表!P19*H49</f>
        <v>0</v>
      </c>
      <c r="S49" s="40">
        <f t="shared" si="41"/>
        <v>0.00266273348452635</v>
      </c>
      <c r="T49" s="40">
        <f t="shared" si="42"/>
        <v>0.000688637970136126</v>
      </c>
      <c r="U49" s="40">
        <f t="shared" si="43"/>
        <v>7.34547168145201e-5</v>
      </c>
      <c r="V49" s="40">
        <f t="shared" si="44"/>
        <v>0.000826365564163351</v>
      </c>
      <c r="W49" s="40">
        <f t="shared" si="45"/>
        <v>0</v>
      </c>
      <c r="X49" s="40">
        <f>数据表!G19+数据表!F32</f>
        <v>1.75</v>
      </c>
      <c r="Y49" s="40">
        <f t="shared" si="46"/>
        <v>0.00535607310105876</v>
      </c>
      <c r="Z49" s="115">
        <v>1500</v>
      </c>
      <c r="AA49" s="115">
        <v>0</v>
      </c>
      <c r="AB49" s="40">
        <f t="shared" si="47"/>
        <v>4.59091980090751</v>
      </c>
      <c r="AC49" s="103">
        <f t="shared" si="48"/>
        <v>0</v>
      </c>
    </row>
    <row r="50" ht="16.35" spans="1:29">
      <c r="A50" s="32"/>
      <c r="B50" s="32"/>
      <c r="C50" s="32"/>
      <c r="D50" s="32"/>
      <c r="E50" s="32"/>
      <c r="F50" s="32"/>
      <c r="G50" s="63" t="s">
        <v>242</v>
      </c>
      <c r="H50" s="43">
        <v>2.5</v>
      </c>
      <c r="I50" s="40">
        <f>VLOOKUP(G50,G2:W27,17,0)</f>
        <v>0.0129667077890217</v>
      </c>
      <c r="J50" s="40">
        <f>数据表!T20</f>
        <v>2848.09090909091</v>
      </c>
      <c r="K50" s="40">
        <f t="shared" si="39"/>
        <v>36.9303625747511</v>
      </c>
      <c r="L50" s="40">
        <f>数据表!S20</f>
        <v>12000</v>
      </c>
      <c r="M50" s="65">
        <f t="shared" si="40"/>
        <v>155.600493468261</v>
      </c>
      <c r="N50" s="84">
        <v>0.45</v>
      </c>
      <c r="O50" s="85">
        <v>0.1</v>
      </c>
      <c r="P50" s="86">
        <v>0.014</v>
      </c>
      <c r="Q50" s="40">
        <v>0.39</v>
      </c>
      <c r="R50" s="40">
        <f>数据表!P20*H50</f>
        <v>0</v>
      </c>
      <c r="S50" s="40">
        <f t="shared" si="41"/>
        <v>0.0145875462626495</v>
      </c>
      <c r="T50" s="40">
        <f t="shared" si="42"/>
        <v>0.00324167694725544</v>
      </c>
      <c r="U50" s="40">
        <f t="shared" si="43"/>
        <v>0.000453834772615761</v>
      </c>
      <c r="V50" s="40">
        <f t="shared" si="44"/>
        <v>0.00505701603771848</v>
      </c>
      <c r="W50" s="40">
        <f t="shared" si="45"/>
        <v>0</v>
      </c>
      <c r="X50" s="40">
        <f>数据表!G20+数据表!F32</f>
        <v>2.75</v>
      </c>
      <c r="Y50" s="40">
        <f t="shared" si="46"/>
        <v>0.0356584464198098</v>
      </c>
      <c r="Z50" s="115">
        <v>3000</v>
      </c>
      <c r="AA50" s="115">
        <v>0</v>
      </c>
      <c r="AB50" s="40">
        <f t="shared" si="47"/>
        <v>38.9001233670652</v>
      </c>
      <c r="AC50" s="103">
        <f t="shared" si="48"/>
        <v>0</v>
      </c>
    </row>
    <row r="51" ht="15.6" spans="1:29">
      <c r="A51" s="33"/>
      <c r="B51" s="34" t="s">
        <v>304</v>
      </c>
      <c r="C51" s="34" t="s">
        <v>329</v>
      </c>
      <c r="D51" s="34" t="s">
        <v>89</v>
      </c>
      <c r="E51" s="34" t="s">
        <v>93</v>
      </c>
      <c r="F51" s="64" t="s">
        <v>97</v>
      </c>
      <c r="G51" s="41" t="s">
        <v>243</v>
      </c>
      <c r="H51" s="43">
        <v>4</v>
      </c>
      <c r="I51" s="40">
        <f>VLOOKUP(G51,G2:W27,17,0)</f>
        <v>0.169511217698427</v>
      </c>
      <c r="J51" s="40">
        <f>数据表!T21</f>
        <v>7414.69090909091</v>
      </c>
      <c r="K51" s="40">
        <f t="shared" si="39"/>
        <v>1256.87328485746</v>
      </c>
      <c r="L51" s="40">
        <f>数据表!S21</f>
        <v>12000</v>
      </c>
      <c r="M51" s="65">
        <f t="shared" si="40"/>
        <v>2034.13461238113</v>
      </c>
      <c r="N51" s="84">
        <v>0.52</v>
      </c>
      <c r="O51" s="85">
        <v>0.14</v>
      </c>
      <c r="P51" s="86">
        <v>0.026</v>
      </c>
      <c r="Q51" s="40">
        <v>1.15</v>
      </c>
      <c r="R51" s="40">
        <f>数据表!P21*H51</f>
        <v>0</v>
      </c>
      <c r="S51" s="40">
        <f t="shared" si="41"/>
        <v>0.352583332812729</v>
      </c>
      <c r="T51" s="40">
        <f t="shared" si="42"/>
        <v>0.0949262819111193</v>
      </c>
      <c r="U51" s="40">
        <f t="shared" si="43"/>
        <v>0.0176291666406364</v>
      </c>
      <c r="V51" s="40">
        <f t="shared" si="44"/>
        <v>0.194937900353191</v>
      </c>
      <c r="W51" s="40">
        <f t="shared" si="45"/>
        <v>0</v>
      </c>
      <c r="X51" s="40">
        <f>数据表!G21+数据表!F32</f>
        <v>4.25</v>
      </c>
      <c r="Y51" s="40">
        <f t="shared" si="46"/>
        <v>0.720422675218316</v>
      </c>
      <c r="Z51" s="115">
        <v>6000</v>
      </c>
      <c r="AA51" s="115">
        <v>0</v>
      </c>
      <c r="AB51" s="40">
        <f t="shared" si="47"/>
        <v>1017.06730619056</v>
      </c>
      <c r="AC51" s="103">
        <f t="shared" si="48"/>
        <v>0</v>
      </c>
    </row>
    <row r="52" ht="15.6" spans="1:29">
      <c r="A52" s="41" t="s">
        <v>223</v>
      </c>
      <c r="B52" s="40">
        <f>SUM(Y33:Y36)</f>
        <v>0.0149202581156993</v>
      </c>
      <c r="C52" s="40">
        <f>SUM(AC33:AC36)</f>
        <v>0.0458142217776808</v>
      </c>
      <c r="D52" s="40">
        <v>0</v>
      </c>
      <c r="E52" s="40">
        <f>SUM(T33:T36)</f>
        <v>0.00840558028274241</v>
      </c>
      <c r="F52" s="65">
        <f>SUM(S33:S36)</f>
        <v>0.0338729716346361</v>
      </c>
      <c r="G52" s="41" t="s">
        <v>245</v>
      </c>
      <c r="H52" s="43">
        <v>2</v>
      </c>
      <c r="I52" s="40">
        <f>VLOOKUP(G52,G2:W27,17,0)</f>
        <v>2.1984463127437e-5</v>
      </c>
      <c r="J52" s="40">
        <f>数据表!T22</f>
        <v>1853.67272727273</v>
      </c>
      <c r="K52" s="40">
        <f t="shared" si="39"/>
        <v>0.0407519997230629</v>
      </c>
      <c r="L52" s="40">
        <f>数据表!S22</f>
        <v>12000</v>
      </c>
      <c r="M52" s="65">
        <f t="shared" si="40"/>
        <v>0.263813557529244</v>
      </c>
      <c r="N52" s="84">
        <v>0</v>
      </c>
      <c r="O52" s="85">
        <v>0</v>
      </c>
      <c r="P52" s="86">
        <v>0.018</v>
      </c>
      <c r="Q52" s="111">
        <v>0.4</v>
      </c>
      <c r="R52" s="40">
        <f>数据表!P22*H52</f>
        <v>0</v>
      </c>
      <c r="S52" s="40">
        <f t="shared" si="41"/>
        <v>0</v>
      </c>
      <c r="T52" s="40">
        <f t="shared" si="42"/>
        <v>0</v>
      </c>
      <c r="U52" s="40">
        <f t="shared" si="43"/>
        <v>7.91440672587733e-7</v>
      </c>
      <c r="V52" s="40">
        <f t="shared" si="44"/>
        <v>8.79378525097482e-6</v>
      </c>
      <c r="W52" s="40">
        <f t="shared" si="45"/>
        <v>0</v>
      </c>
      <c r="X52" s="40">
        <f>数据表!G22+数据表!F32</f>
        <v>2.25</v>
      </c>
      <c r="Y52" s="40">
        <f t="shared" si="46"/>
        <v>4.94650420367333e-5</v>
      </c>
      <c r="Z52" s="115">
        <v>0</v>
      </c>
      <c r="AA52" s="115">
        <v>0</v>
      </c>
      <c r="AB52" s="40">
        <f t="shared" si="47"/>
        <v>0</v>
      </c>
      <c r="AC52" s="103">
        <f t="shared" si="48"/>
        <v>0</v>
      </c>
    </row>
    <row r="53" ht="15.6" spans="1:29">
      <c r="A53" s="41" t="s">
        <v>229</v>
      </c>
      <c r="B53" s="40">
        <f>SUM(Y37:Y40)</f>
        <v>0.654471720403366</v>
      </c>
      <c r="C53" s="40">
        <v>0</v>
      </c>
      <c r="D53" s="40">
        <f>SUM(U37:U40)</f>
        <v>0.0492406758847785</v>
      </c>
      <c r="E53" s="40">
        <v>0</v>
      </c>
      <c r="F53" s="65">
        <v>0</v>
      </c>
      <c r="G53" s="41" t="s">
        <v>246</v>
      </c>
      <c r="H53" s="43">
        <v>2</v>
      </c>
      <c r="I53" s="40">
        <f>VLOOKUP(G53,G2:W27,17,0)</f>
        <v>0.00124896177608019</v>
      </c>
      <c r="J53" s="40">
        <f>数据表!T23</f>
        <v>2162.61818181818</v>
      </c>
      <c r="K53" s="40">
        <f t="shared" si="39"/>
        <v>2.70102744534694</v>
      </c>
      <c r="L53" s="40">
        <f>数据表!S23</f>
        <v>12000</v>
      </c>
      <c r="M53" s="65">
        <f t="shared" si="40"/>
        <v>14.9875413129622</v>
      </c>
      <c r="N53" s="84">
        <v>0</v>
      </c>
      <c r="O53" s="85">
        <v>0</v>
      </c>
      <c r="P53" s="86">
        <v>0.021</v>
      </c>
      <c r="Q53" s="40">
        <v>0.46</v>
      </c>
      <c r="R53" s="40">
        <f>数据表!P23*H53</f>
        <v>0</v>
      </c>
      <c r="S53" s="40">
        <f t="shared" si="41"/>
        <v>0</v>
      </c>
      <c r="T53" s="40">
        <f t="shared" si="42"/>
        <v>0</v>
      </c>
      <c r="U53" s="40">
        <f t="shared" si="43"/>
        <v>5.24563945953678e-5</v>
      </c>
      <c r="V53" s="40">
        <f t="shared" si="44"/>
        <v>0.000574522416996886</v>
      </c>
      <c r="W53" s="40">
        <f t="shared" si="45"/>
        <v>0</v>
      </c>
      <c r="X53" s="40">
        <f>数据表!G23+数据表!F32</f>
        <v>2.25</v>
      </c>
      <c r="Y53" s="40">
        <f t="shared" si="46"/>
        <v>0.00281016399618042</v>
      </c>
      <c r="Z53" s="115">
        <v>0</v>
      </c>
      <c r="AA53" s="115">
        <v>0</v>
      </c>
      <c r="AB53" s="40">
        <f t="shared" si="47"/>
        <v>0</v>
      </c>
      <c r="AC53" s="103">
        <f t="shared" si="48"/>
        <v>0</v>
      </c>
    </row>
    <row r="54" ht="15.6" spans="1:29">
      <c r="A54" s="66" t="s">
        <v>234</v>
      </c>
      <c r="B54" s="67">
        <f>SUM(Y41:Y44)</f>
        <v>1.04841640289556</v>
      </c>
      <c r="C54" s="67">
        <f>SUM(AC44)</f>
        <v>0.0416681463018763</v>
      </c>
      <c r="D54" s="67">
        <f>SUM(U41:U44)</f>
        <v>0.0115975496080873</v>
      </c>
      <c r="E54" s="67">
        <v>0</v>
      </c>
      <c r="F54" s="68">
        <f>SUM(S41:S44)</f>
        <v>0.830619883807294</v>
      </c>
      <c r="G54" s="41" t="s">
        <v>247</v>
      </c>
      <c r="H54" s="43">
        <v>4</v>
      </c>
      <c r="I54" s="40">
        <f>VLOOKUP(G54,G2:W27,17,0)</f>
        <v>0.0313660195630211</v>
      </c>
      <c r="J54" s="40">
        <f>数据表!T24</f>
        <v>6050.18181818182</v>
      </c>
      <c r="K54" s="40">
        <f t="shared" si="39"/>
        <v>189.770121268925</v>
      </c>
      <c r="L54" s="40">
        <f>数据表!S24</f>
        <v>12000</v>
      </c>
      <c r="M54" s="65">
        <f t="shared" si="40"/>
        <v>376.392234756253</v>
      </c>
      <c r="N54" s="84">
        <v>0.33</v>
      </c>
      <c r="O54" s="85">
        <v>0.09</v>
      </c>
      <c r="P54" s="86">
        <v>0.023</v>
      </c>
      <c r="Q54" s="40">
        <v>1</v>
      </c>
      <c r="R54" s="40">
        <f>数据表!P24*H54</f>
        <v>0</v>
      </c>
      <c r="S54" s="40">
        <f t="shared" si="41"/>
        <v>0.0414031458231878</v>
      </c>
      <c r="T54" s="40">
        <f t="shared" si="42"/>
        <v>0.0112917670426876</v>
      </c>
      <c r="U54" s="40">
        <f t="shared" si="43"/>
        <v>0.00288567379979794</v>
      </c>
      <c r="V54" s="40">
        <f t="shared" si="44"/>
        <v>0.0313660195630211</v>
      </c>
      <c r="W54" s="40">
        <f t="shared" si="45"/>
        <v>0</v>
      </c>
      <c r="X54" s="40">
        <f>数据表!G24+数据表!F32</f>
        <v>4.25</v>
      </c>
      <c r="Y54" s="40">
        <f t="shared" si="46"/>
        <v>0.133305583142839</v>
      </c>
      <c r="Z54" s="115">
        <v>0</v>
      </c>
      <c r="AA54" s="115">
        <v>0</v>
      </c>
      <c r="AB54" s="40">
        <f t="shared" si="47"/>
        <v>0</v>
      </c>
      <c r="AC54" s="103">
        <f t="shared" si="48"/>
        <v>0</v>
      </c>
    </row>
    <row r="55" ht="15.6" spans="1:29">
      <c r="A55" s="66" t="s">
        <v>239</v>
      </c>
      <c r="B55" s="67">
        <f>SUM(Y45:Y48)</f>
        <v>1.01357130933541</v>
      </c>
      <c r="C55" s="67">
        <f>SUM(AC48)</f>
        <v>0.029762418520669</v>
      </c>
      <c r="D55" s="67">
        <f>SUM(U45:U48)</f>
        <v>0.0114100508737854</v>
      </c>
      <c r="E55" s="67">
        <f>SUM(T45:T48)</f>
        <v>0.54390159460372</v>
      </c>
      <c r="F55" s="68">
        <v>0</v>
      </c>
      <c r="G55" s="41" t="s">
        <v>249</v>
      </c>
      <c r="H55" s="43">
        <v>6</v>
      </c>
      <c r="I55" s="40">
        <f>VLOOKUP(G55,G2:W27,17,0)</f>
        <v>0.0192644439305967</v>
      </c>
      <c r="J55" s="40">
        <f>数据表!T25</f>
        <v>3707.34545454545</v>
      </c>
      <c r="K55" s="40">
        <f t="shared" si="39"/>
        <v>71.4199486404434</v>
      </c>
      <c r="L55" s="40">
        <f>数据表!S25</f>
        <v>12000</v>
      </c>
      <c r="M55" s="65">
        <f t="shared" si="40"/>
        <v>231.17332716716</v>
      </c>
      <c r="N55" s="84">
        <v>0</v>
      </c>
      <c r="O55" s="85">
        <v>0</v>
      </c>
      <c r="P55" s="86">
        <v>0.012</v>
      </c>
      <c r="Q55" s="40">
        <v>0.81</v>
      </c>
      <c r="R55" s="40">
        <f>数据表!P25*H55</f>
        <v>0</v>
      </c>
      <c r="S55" s="40">
        <f t="shared" si="41"/>
        <v>0</v>
      </c>
      <c r="T55" s="40">
        <f t="shared" si="42"/>
        <v>0</v>
      </c>
      <c r="U55" s="40">
        <f t="shared" si="43"/>
        <v>0.00138703996300296</v>
      </c>
      <c r="V55" s="40">
        <f t="shared" si="44"/>
        <v>0.0156041995837833</v>
      </c>
      <c r="W55" s="40">
        <f t="shared" si="45"/>
        <v>0</v>
      </c>
      <c r="X55" s="40">
        <f>数据表!G25+数据表!F32</f>
        <v>6.25</v>
      </c>
      <c r="Y55" s="40">
        <f t="shared" si="46"/>
        <v>0.120402774566229</v>
      </c>
      <c r="Z55" s="115">
        <v>0</v>
      </c>
      <c r="AA55" s="115">
        <v>0</v>
      </c>
      <c r="AB55" s="40">
        <f t="shared" si="47"/>
        <v>0</v>
      </c>
      <c r="AC55" s="103">
        <f t="shared" si="48"/>
        <v>0</v>
      </c>
    </row>
    <row r="56" ht="15.6" spans="1:29">
      <c r="A56" s="66" t="s">
        <v>244</v>
      </c>
      <c r="B56" s="67">
        <f>SUM(Y49:Y51)</f>
        <v>0.761437194739184</v>
      </c>
      <c r="C56" s="67">
        <v>0</v>
      </c>
      <c r="D56" s="67">
        <f>SUM(U49:U51)</f>
        <v>0.0181564561300667</v>
      </c>
      <c r="E56" s="67">
        <f>SUM(T49:T51)</f>
        <v>0.0988565968285108</v>
      </c>
      <c r="F56" s="68">
        <f>SUM(S49:S51)</f>
        <v>0.369833612559905</v>
      </c>
      <c r="G56" s="41" t="s">
        <v>250</v>
      </c>
      <c r="H56" s="43">
        <v>8</v>
      </c>
      <c r="I56" s="40">
        <f>VLOOKUP(G56,G2:W27,17,0)</f>
        <v>0.0910460153574172</v>
      </c>
      <c r="J56" s="40">
        <f>数据表!T26</f>
        <v>4994.61818181818</v>
      </c>
      <c r="K56" s="40">
        <f t="shared" si="39"/>
        <v>454.740083686253</v>
      </c>
      <c r="L56" s="40">
        <f>数据表!S26</f>
        <v>12000</v>
      </c>
      <c r="M56" s="65">
        <f t="shared" si="40"/>
        <v>1092.55218428901</v>
      </c>
      <c r="N56" s="84">
        <v>0.07</v>
      </c>
      <c r="O56" s="85">
        <v>0.01</v>
      </c>
      <c r="P56" s="86">
        <v>0.011</v>
      </c>
      <c r="Q56" s="40">
        <v>0.98</v>
      </c>
      <c r="R56" s="40">
        <f>数据表!P26*H56</f>
        <v>0</v>
      </c>
      <c r="S56" s="40">
        <f t="shared" si="41"/>
        <v>0.0509857686001536</v>
      </c>
      <c r="T56" s="40">
        <f t="shared" si="42"/>
        <v>0.00728368122859337</v>
      </c>
      <c r="U56" s="40">
        <f t="shared" si="43"/>
        <v>0.00801204935145271</v>
      </c>
      <c r="V56" s="40">
        <f t="shared" si="44"/>
        <v>0.0892250950502688</v>
      </c>
      <c r="W56" s="40">
        <f t="shared" si="45"/>
        <v>0</v>
      </c>
      <c r="X56" s="40">
        <f>数据表!G26+数据表!F32</f>
        <v>8.25</v>
      </c>
      <c r="Y56" s="40">
        <f t="shared" si="46"/>
        <v>0.751129626698692</v>
      </c>
      <c r="Z56" s="115">
        <v>0</v>
      </c>
      <c r="AA56" s="115">
        <v>0</v>
      </c>
      <c r="AB56" s="40">
        <f t="shared" si="47"/>
        <v>0</v>
      </c>
      <c r="AC56" s="103">
        <f t="shared" si="48"/>
        <v>0</v>
      </c>
    </row>
    <row r="57" ht="16.35" spans="1:29">
      <c r="A57" s="69" t="s">
        <v>330</v>
      </c>
      <c r="B57" s="70">
        <f>SUM(Y52:Y58)</f>
        <v>1.04505231657277</v>
      </c>
      <c r="C57" s="70">
        <v>0</v>
      </c>
      <c r="D57" s="70">
        <f>SUM(U52:U59)</f>
        <v>0.0126673827659329</v>
      </c>
      <c r="E57" s="70">
        <f>SUM(T52:T58)</f>
        <v>0.0193067014536917</v>
      </c>
      <c r="F57" s="71">
        <f>SUM(S52:S58)</f>
        <v>0.094948300561779</v>
      </c>
      <c r="G57" s="72" t="s">
        <v>252</v>
      </c>
      <c r="H57" s="73">
        <v>12</v>
      </c>
      <c r="I57" s="87">
        <f>VLOOKUP(G57,G2:W27,17,0)</f>
        <v>0.00304688826004476</v>
      </c>
      <c r="J57" s="87">
        <f>数据表!T27</f>
        <v>6410.61818181818</v>
      </c>
      <c r="K57" s="87">
        <f t="shared" si="39"/>
        <v>19.5324372778113</v>
      </c>
      <c r="L57" s="87">
        <f>数据表!S27</f>
        <v>18000</v>
      </c>
      <c r="M57" s="88">
        <f t="shared" si="40"/>
        <v>54.8439886808056</v>
      </c>
      <c r="N57" s="84">
        <v>0.07</v>
      </c>
      <c r="O57" s="85">
        <v>0.02</v>
      </c>
      <c r="P57" s="86">
        <v>0.009</v>
      </c>
      <c r="Q57" s="40">
        <v>1.14</v>
      </c>
      <c r="R57" s="40">
        <f>数据表!P27*H57</f>
        <v>0</v>
      </c>
      <c r="S57" s="40">
        <f t="shared" si="41"/>
        <v>0.0025593861384376</v>
      </c>
      <c r="T57" s="40">
        <f t="shared" si="42"/>
        <v>0.000731253182410741</v>
      </c>
      <c r="U57" s="40">
        <f t="shared" si="43"/>
        <v>0.000329063932084834</v>
      </c>
      <c r="V57" s="40">
        <f t="shared" si="44"/>
        <v>0.00347345261645102</v>
      </c>
      <c r="W57" s="40">
        <f t="shared" si="45"/>
        <v>0</v>
      </c>
      <c r="X57" s="40">
        <f>数据表!G27+数据表!F32</f>
        <v>12.25</v>
      </c>
      <c r="Y57" s="40">
        <f t="shared" si="46"/>
        <v>0.0373243811855483</v>
      </c>
      <c r="Z57" s="115">
        <v>0</v>
      </c>
      <c r="AA57" s="115">
        <v>0</v>
      </c>
      <c r="AB57" s="40">
        <f t="shared" si="47"/>
        <v>0</v>
      </c>
      <c r="AC57" s="103">
        <f t="shared" si="48"/>
        <v>0</v>
      </c>
    </row>
    <row r="58" ht="16.35" spans="1:29">
      <c r="A58" s="32"/>
      <c r="B58" s="32"/>
      <c r="C58" s="32"/>
      <c r="D58" s="32"/>
      <c r="E58" s="32"/>
      <c r="F58" s="32"/>
      <c r="G58" s="74" t="s">
        <v>254</v>
      </c>
      <c r="H58" s="75">
        <v>3</v>
      </c>
      <c r="I58" s="89">
        <f>VLOOKUP(G58,G2:W27,17,0)</f>
        <v>9.32982807641804e-6</v>
      </c>
      <c r="J58" s="89">
        <f>数据表!T28</f>
        <v>1699.2</v>
      </c>
      <c r="K58" s="89">
        <f t="shared" si="39"/>
        <v>0.0158532438674495</v>
      </c>
      <c r="L58" s="89">
        <f>数据表!R28</f>
        <v>4875</v>
      </c>
      <c r="M58" s="90">
        <f t="shared" si="40"/>
        <v>0.0454829118725379</v>
      </c>
      <c r="N58" s="91">
        <v>0</v>
      </c>
      <c r="O58" s="92">
        <v>0</v>
      </c>
      <c r="P58" s="93">
        <v>0.011</v>
      </c>
      <c r="Q58" s="53">
        <v>0.35</v>
      </c>
      <c r="R58" s="53">
        <f>数据表!P28*H58</f>
        <v>0</v>
      </c>
      <c r="S58" s="53">
        <f t="shared" si="41"/>
        <v>0</v>
      </c>
      <c r="T58" s="53">
        <f t="shared" si="42"/>
        <v>0</v>
      </c>
      <c r="U58" s="53">
        <f t="shared" si="43"/>
        <v>3.07884326521795e-7</v>
      </c>
      <c r="V58" s="53">
        <f t="shared" si="44"/>
        <v>3.26543982674631e-6</v>
      </c>
      <c r="W58" s="53">
        <f t="shared" si="45"/>
        <v>0</v>
      </c>
      <c r="X58" s="53">
        <f>数据表!G28+数据表!F32</f>
        <v>3.25</v>
      </c>
      <c r="Y58" s="53">
        <f t="shared" si="46"/>
        <v>3.03219412483586e-5</v>
      </c>
      <c r="Z58" s="116">
        <v>0</v>
      </c>
      <c r="AA58" s="116">
        <v>0</v>
      </c>
      <c r="AB58" s="53">
        <f t="shared" si="47"/>
        <v>0</v>
      </c>
      <c r="AC58" s="104">
        <f t="shared" si="48"/>
        <v>0</v>
      </c>
    </row>
    <row r="59" ht="15.6" spans="1:30">
      <c r="A59" s="32"/>
      <c r="B59" s="32"/>
      <c r="C59" s="32"/>
      <c r="D59" s="32"/>
      <c r="E59" s="32"/>
      <c r="F59" s="32"/>
      <c r="G59" s="54" t="s">
        <v>331</v>
      </c>
      <c r="H59" s="32" t="s">
        <v>332</v>
      </c>
      <c r="I59" s="32">
        <f t="shared" ref="I59:M59" si="49">SUM(I33:I58)</f>
        <v>0.999997857825303</v>
      </c>
      <c r="J59" s="32" t="s">
        <v>333</v>
      </c>
      <c r="K59" s="32">
        <f t="shared" si="49"/>
        <v>7032.7272163158</v>
      </c>
      <c r="L59" s="32" t="s">
        <v>334</v>
      </c>
      <c r="M59" s="32">
        <f t="shared" si="49"/>
        <v>12108.4472668792</v>
      </c>
      <c r="N59" s="94" t="s">
        <v>335</v>
      </c>
      <c r="O59" s="95"/>
      <c r="P59" s="96"/>
      <c r="R59" s="97"/>
      <c r="S59" s="62" t="s">
        <v>69</v>
      </c>
      <c r="T59" s="62" t="s">
        <v>74</v>
      </c>
      <c r="U59" s="62" t="s">
        <v>89</v>
      </c>
      <c r="V59" s="40" t="s">
        <v>328</v>
      </c>
      <c r="W59" s="40" t="s">
        <v>113</v>
      </c>
      <c r="X59" s="105">
        <f>SUM(Y33:Y58)</f>
        <v>4.537869202062</v>
      </c>
      <c r="Y59" s="106"/>
      <c r="AA59" s="106"/>
      <c r="AB59" s="106"/>
      <c r="AC59" s="107"/>
      <c r="AD59" s="32"/>
    </row>
    <row r="60" ht="15.15" spans="1:30">
      <c r="A60" s="32"/>
      <c r="B60" s="32"/>
      <c r="C60" s="32"/>
      <c r="D60" s="32"/>
      <c r="E60" s="32"/>
      <c r="F60" s="32"/>
      <c r="G60" s="56"/>
      <c r="H60" s="57"/>
      <c r="I60" s="57"/>
      <c r="J60" s="57" t="s">
        <v>336</v>
      </c>
      <c r="K60" s="57">
        <f>K59/M59*100</f>
        <v>58.0811648373176</v>
      </c>
      <c r="L60" s="57"/>
      <c r="M60" s="57"/>
      <c r="N60" s="97" t="s">
        <v>337</v>
      </c>
      <c r="O60" s="76">
        <f>R29+1</f>
        <v>2</v>
      </c>
      <c r="P60" s="98" t="s">
        <v>338</v>
      </c>
      <c r="R60" s="54" t="s">
        <v>339</v>
      </c>
      <c r="S60" s="32">
        <f>SUM(S33:S58)*R29</f>
        <v>1.32927476856361</v>
      </c>
      <c r="T60" s="32">
        <f>SUM(T33:T58)*R29</f>
        <v>0.670470473168665</v>
      </c>
      <c r="U60" s="32">
        <f>SUM(U33:U58)*R29</f>
        <v>0.103072115262651</v>
      </c>
      <c r="V60" s="32">
        <f>SUM(V33:V58)*R29</f>
        <v>0.98886412466415</v>
      </c>
      <c r="W60" s="32">
        <f>SUM(W33:W58)*R29</f>
        <v>0.566863887951911</v>
      </c>
      <c r="X60" s="56"/>
      <c r="Y60" s="57"/>
      <c r="AA60" s="57" t="s">
        <v>340</v>
      </c>
      <c r="AB60" s="57">
        <f>SUM(AB33:AB58)*R29</f>
        <v>3413.42403503754</v>
      </c>
      <c r="AC60" s="112">
        <f>SUM(AC33:AC58)*R29</f>
        <v>0.117244786600226</v>
      </c>
      <c r="AD60" s="32"/>
    </row>
    <row r="61" spans="1:30">
      <c r="A61" s="32"/>
      <c r="B61" s="32"/>
      <c r="C61" s="32"/>
      <c r="D61" s="32"/>
      <c r="E61" s="32"/>
      <c r="F61" s="32"/>
      <c r="G61" s="32"/>
      <c r="H61" s="32"/>
      <c r="I61" s="32"/>
      <c r="J61" s="32"/>
      <c r="K61" s="32"/>
      <c r="L61" s="32"/>
      <c r="M61" s="32"/>
      <c r="N61" s="97" t="s">
        <v>347</v>
      </c>
      <c r="O61" s="76">
        <f>1-T28</f>
        <v>0.230045630116503</v>
      </c>
      <c r="P61" s="98"/>
      <c r="R61" s="54" t="s">
        <v>342</v>
      </c>
      <c r="S61" s="32"/>
      <c r="T61" s="32"/>
      <c r="U61" s="32"/>
      <c r="V61" s="32"/>
      <c r="W61" s="55"/>
      <c r="X61" s="32"/>
      <c r="Y61" s="32"/>
      <c r="Z61" s="32"/>
      <c r="AA61" s="32"/>
      <c r="AB61" s="32"/>
      <c r="AC61" s="32"/>
      <c r="AD61" s="32"/>
    </row>
    <row r="62" spans="1:30">
      <c r="A62" s="32"/>
      <c r="B62" s="32"/>
      <c r="C62" s="32"/>
      <c r="D62" s="32"/>
      <c r="E62" s="32"/>
      <c r="F62" s="32"/>
      <c r="G62" s="76"/>
      <c r="H62" s="76"/>
      <c r="I62" s="76"/>
      <c r="J62" s="76"/>
      <c r="K62" s="76"/>
      <c r="L62" s="76"/>
      <c r="M62" s="32"/>
      <c r="N62" s="97" t="s">
        <v>306</v>
      </c>
      <c r="O62" s="76">
        <f>V28</f>
        <v>0.352435700437533</v>
      </c>
      <c r="P62" s="98"/>
      <c r="R62" s="54" t="s">
        <v>344</v>
      </c>
      <c r="S62" s="32">
        <f>M59/X59</f>
        <v>2668.31121121278</v>
      </c>
      <c r="T62" s="32"/>
      <c r="U62" s="32"/>
      <c r="V62" s="32"/>
      <c r="W62" s="55"/>
      <c r="X62" s="32"/>
      <c r="Y62" s="32"/>
      <c r="Z62" s="32"/>
      <c r="AA62" s="32"/>
      <c r="AB62" s="32"/>
      <c r="AC62" s="32"/>
      <c r="AD62" s="32"/>
    </row>
    <row r="63" ht="15.15" spans="1:30">
      <c r="A63" s="32"/>
      <c r="B63" s="32"/>
      <c r="C63" s="32"/>
      <c r="D63" s="32"/>
      <c r="E63" s="32"/>
      <c r="F63" s="32"/>
      <c r="G63" s="76"/>
      <c r="H63" s="76"/>
      <c r="I63" s="76"/>
      <c r="J63" s="76"/>
      <c r="K63" s="76"/>
      <c r="L63" s="76"/>
      <c r="M63" s="32"/>
      <c r="N63" s="99" t="s">
        <v>345</v>
      </c>
      <c r="O63" s="100"/>
      <c r="P63" s="101">
        <f>O62</f>
        <v>0.352435700437533</v>
      </c>
      <c r="R63" s="56" t="s">
        <v>346</v>
      </c>
      <c r="S63" s="57">
        <f>K59/X59</f>
        <v>1549.78623295712</v>
      </c>
      <c r="T63" s="57"/>
      <c r="U63" s="57"/>
      <c r="V63" s="57"/>
      <c r="W63" s="112"/>
      <c r="X63" s="32"/>
      <c r="Y63" s="32"/>
      <c r="Z63" s="32"/>
      <c r="AA63" s="32"/>
      <c r="AB63" s="32"/>
      <c r="AC63" s="32"/>
      <c r="AD63" s="32"/>
    </row>
    <row r="64" spans="1:30">
      <c r="A64" s="32"/>
      <c r="B64" s="32"/>
      <c r="C64" s="32"/>
      <c r="D64" s="32"/>
      <c r="E64" s="32"/>
      <c r="F64" s="32"/>
      <c r="M64" s="32"/>
      <c r="N64" s="32"/>
      <c r="O64" s="32"/>
      <c r="P64" s="32"/>
      <c r="Q64" s="32"/>
      <c r="R64" s="32"/>
      <c r="S64" s="32"/>
      <c r="T64" s="32"/>
      <c r="U64" s="32"/>
      <c r="V64" s="32"/>
      <c r="W64" s="32"/>
      <c r="X64" s="32"/>
      <c r="Y64" s="32"/>
      <c r="Z64" s="32"/>
      <c r="AA64" s="32"/>
      <c r="AB64" s="32"/>
      <c r="AC64" s="32"/>
      <c r="AD64" s="32"/>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A12" workbookViewId="0">
      <selection activeCell="I43" sqref="I43"/>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0.6666666666667"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80</v>
      </c>
      <c r="B1" s="2"/>
      <c r="D1" t="s">
        <v>348</v>
      </c>
      <c r="K1" t="s">
        <v>349</v>
      </c>
    </row>
    <row r="2" ht="16.35" spans="1:18">
      <c r="A2" s="3" t="s">
        <v>212</v>
      </c>
      <c r="B2" s="4" t="s">
        <v>213</v>
      </c>
      <c r="C2" t="s">
        <v>350</v>
      </c>
      <c r="D2" t="s">
        <v>351</v>
      </c>
      <c r="E2" t="s">
        <v>352</v>
      </c>
      <c r="F2" t="s">
        <v>353</v>
      </c>
      <c r="G2" t="s">
        <v>323</v>
      </c>
      <c r="H2" t="s">
        <v>327</v>
      </c>
      <c r="I2" t="s">
        <v>354</v>
      </c>
      <c r="J2" t="s">
        <v>355</v>
      </c>
      <c r="K2" t="s">
        <v>356</v>
      </c>
      <c r="L2" t="s">
        <v>357</v>
      </c>
      <c r="M2" t="s">
        <v>354</v>
      </c>
      <c r="N2" t="s">
        <v>355</v>
      </c>
      <c r="O2" t="s">
        <v>358</v>
      </c>
      <c r="P2" t="s">
        <v>359</v>
      </c>
      <c r="Q2" t="s">
        <v>150</v>
      </c>
      <c r="R2" t="s">
        <v>360</v>
      </c>
    </row>
    <row r="3" ht="15.6" spans="1:19">
      <c r="A3" s="5" t="s">
        <v>223</v>
      </c>
      <c r="B3" s="6">
        <v>1</v>
      </c>
      <c r="C3">
        <f ca="1">数据表!K39</f>
        <v>12.2455555555255</v>
      </c>
      <c r="D3">
        <f ca="1">IF(C3&gt;B3,1,0)</f>
        <v>1</v>
      </c>
      <c r="E3">
        <f ca="1">IF((C3-B3)*D3&gt;F3,1,0)</f>
        <v>1</v>
      </c>
      <c r="F3">
        <f>G60</f>
        <v>2.5</v>
      </c>
      <c r="G3">
        <f>数据表!T3*100</f>
        <v>319614.545454545</v>
      </c>
      <c r="H3">
        <f ca="1">数据表!R3+C3*1500-B3*1500</f>
        <v>21143.3333332883</v>
      </c>
      <c r="I3">
        <f ca="1">G3/H3</f>
        <v>15.1165637137897</v>
      </c>
      <c r="J3">
        <f>'倾向-优先级表'!D6</f>
        <v>139.11</v>
      </c>
      <c r="K3">
        <f ca="1">(I3-J3)*H3</f>
        <v>-2621634.55453919</v>
      </c>
      <c r="L3">
        <f ca="1">H3+8000</f>
        <v>29143.3333332883</v>
      </c>
      <c r="M3">
        <f ca="1">G3/L3</f>
        <v>10.9669865762909</v>
      </c>
      <c r="N3">
        <f ca="1">G34</f>
        <v>80.0401113522869</v>
      </c>
      <c r="O3">
        <f ca="1">(M3-N3)*L3</f>
        <v>-2013021.09971866</v>
      </c>
      <c r="P3">
        <f ca="1">IF(E3=1,数据表!U3,IF(D3=1,K3,O3))</f>
        <v>-275080.704545455</v>
      </c>
      <c r="Q3">
        <f ca="1">COUNTIF(P4:P29,"&gt;"&amp;P3)+1</f>
        <v>14</v>
      </c>
      <c r="R3" t="s">
        <v>205</v>
      </c>
      <c r="S3">
        <f ca="1">P3</f>
        <v>-275080.704545455</v>
      </c>
    </row>
    <row r="4" ht="15.6" spans="1:19">
      <c r="A4" s="7" t="s">
        <v>223</v>
      </c>
      <c r="B4" s="8">
        <v>2</v>
      </c>
      <c r="C4">
        <f ca="1">数据表!K39</f>
        <v>12.2455555555255</v>
      </c>
      <c r="D4">
        <f ca="1" t="shared" ref="D4:D29" si="0">IF(C4&gt;B4,1,0)</f>
        <v>1</v>
      </c>
      <c r="E4">
        <f ca="1" t="shared" ref="E4:E29" si="1">IF((C4-B4)*D4&gt;F4,1,0)</f>
        <v>1</v>
      </c>
      <c r="F4">
        <f>G60</f>
        <v>2.5</v>
      </c>
      <c r="G4">
        <f>数据表!T4*100</f>
        <v>463714.909090909</v>
      </c>
      <c r="H4">
        <f ca="1">数据表!R4+C4*1500-B4*1500</f>
        <v>23543.3333332883</v>
      </c>
      <c r="I4">
        <f ca="1" t="shared" ref="I4:I28" si="2">G4/H4</f>
        <v>19.6962300336315</v>
      </c>
      <c r="J4">
        <f>'倾向-优先级表'!D6</f>
        <v>139.11</v>
      </c>
      <c r="K4">
        <f ca="1">(I4-J4)*H4</f>
        <v>-2811398.19090282</v>
      </c>
      <c r="L4">
        <f ca="1" t="shared" ref="L4:L28" si="3">H4+8000</f>
        <v>31543.3333332883</v>
      </c>
      <c r="M4">
        <f ca="1" t="shared" ref="M4:M28" si="4">G4/L4</f>
        <v>14.7008847857415</v>
      </c>
      <c r="N4">
        <f ca="1">G34</f>
        <v>80.0401113522869</v>
      </c>
      <c r="O4">
        <f ca="1" t="shared" ref="O4:O28" si="5">(M4-N4)*L4</f>
        <v>-2061017.00332779</v>
      </c>
      <c r="P4">
        <f ca="1">IF(E4=1,数据表!U4,IF(D4=1,K4,O4))</f>
        <v>-673509.340909091</v>
      </c>
      <c r="Q4">
        <f ca="1">COUNTIF(P5:P29,"&gt;"&amp;P4)+1+COUNTIF(P3:P3,"&gt;="&amp;P4)</f>
        <v>21</v>
      </c>
      <c r="R4" t="s">
        <v>211</v>
      </c>
      <c r="S4">
        <f ca="1" t="shared" ref="S4:S29" si="6">P4</f>
        <v>-673509.340909091</v>
      </c>
    </row>
    <row r="5" ht="15.6" spans="1:19">
      <c r="A5" s="9" t="s">
        <v>223</v>
      </c>
      <c r="B5" s="10">
        <v>4</v>
      </c>
      <c r="C5">
        <f ca="1">数据表!K39</f>
        <v>12.2455555555255</v>
      </c>
      <c r="D5">
        <f ca="1" t="shared" si="0"/>
        <v>1</v>
      </c>
      <c r="E5">
        <f ca="1" t="shared" si="1"/>
        <v>1</v>
      </c>
      <c r="F5">
        <f>G60</f>
        <v>2.5</v>
      </c>
      <c r="G5">
        <f>数据表!T5*100</f>
        <v>618466.909090909</v>
      </c>
      <c r="H5">
        <f ca="1">数据表!R5+C5*1500-B5*1500</f>
        <v>26743.3333332883</v>
      </c>
      <c r="I5">
        <f ca="1" t="shared" si="2"/>
        <v>23.1260217783355</v>
      </c>
      <c r="J5">
        <f>'倾向-优先级表'!D6</f>
        <v>139.11</v>
      </c>
      <c r="K5">
        <f ca="1" t="shared" ref="K4:K29" si="7">(I5-J5)*H5</f>
        <v>-3101798.19090282</v>
      </c>
      <c r="L5">
        <f ca="1" t="shared" si="3"/>
        <v>34743.3333332883</v>
      </c>
      <c r="M5">
        <f ca="1" t="shared" si="4"/>
        <v>17.801023959274</v>
      </c>
      <c r="N5">
        <f ca="1">G34</f>
        <v>80.0401113522869</v>
      </c>
      <c r="O5">
        <f ca="1" t="shared" si="5"/>
        <v>-2162393.3596551</v>
      </c>
      <c r="P5">
        <f ca="1">IF(E5=1,数据表!U5,IF(D5=1,K5,O5))</f>
        <v>-1381239.34090909</v>
      </c>
      <c r="Q5">
        <f ca="1">COUNTIF(P6:P29,"&gt;"&amp;P5)+COUNTIF(P3:P4,"&gt;="&amp;P5)+1</f>
        <v>26</v>
      </c>
      <c r="R5" t="s">
        <v>222</v>
      </c>
      <c r="S5">
        <f ca="1" t="shared" si="6"/>
        <v>-1381239.34090909</v>
      </c>
    </row>
    <row r="6" ht="16.35" spans="1:19">
      <c r="A6" s="11" t="s">
        <v>227</v>
      </c>
      <c r="B6" s="12">
        <v>0.5</v>
      </c>
      <c r="C6">
        <f ca="1">数据表!K39</f>
        <v>12.2455555555255</v>
      </c>
      <c r="D6">
        <f ca="1" t="shared" si="0"/>
        <v>1</v>
      </c>
      <c r="E6">
        <f ca="1" t="shared" si="1"/>
        <v>1</v>
      </c>
      <c r="F6">
        <f>G60</f>
        <v>2.5</v>
      </c>
      <c r="G6">
        <f>数据表!T6*100</f>
        <v>558228.545454545</v>
      </c>
      <c r="H6">
        <f ca="1">数据表!R6+C6*1500-B6*1500</f>
        <v>21143.3333332883</v>
      </c>
      <c r="I6">
        <f ca="1" t="shared" si="2"/>
        <v>26.402106832212</v>
      </c>
      <c r="J6">
        <f>'倾向-优先级表'!D6</f>
        <v>139.11</v>
      </c>
      <c r="K6">
        <f ca="1" t="shared" si="7"/>
        <v>-2383020.55453919</v>
      </c>
      <c r="L6">
        <f ca="1" t="shared" si="3"/>
        <v>29143.3333332883</v>
      </c>
      <c r="M6">
        <f ca="1" t="shared" si="4"/>
        <v>19.1545880860829</v>
      </c>
      <c r="N6">
        <f ca="1">G34</f>
        <v>80.0401113522869</v>
      </c>
      <c r="O6">
        <f ca="1" t="shared" si="5"/>
        <v>-1774407.09971866</v>
      </c>
      <c r="P6">
        <f ca="1">IF(E6=1,数据表!U6,IF(D6=1,K6,O6))</f>
        <v>67865.7954545454</v>
      </c>
      <c r="Q6">
        <f ca="1">COUNTIF(P7:P29,"&gt;"&amp;P6)+COUNTIF(P3:P5,"&gt;="&amp;P6)+1</f>
        <v>5</v>
      </c>
      <c r="R6" t="s">
        <v>224</v>
      </c>
      <c r="S6">
        <f ca="1" t="shared" si="6"/>
        <v>67865.7954545454</v>
      </c>
    </row>
    <row r="7" ht="15.6" spans="1:19">
      <c r="A7" s="13" t="s">
        <v>229</v>
      </c>
      <c r="B7" s="14">
        <v>1</v>
      </c>
      <c r="C7">
        <f ca="1">数据表!K39</f>
        <v>12.2455555555255</v>
      </c>
      <c r="D7">
        <f ca="1" t="shared" si="0"/>
        <v>1</v>
      </c>
      <c r="E7">
        <f ca="1" t="shared" si="1"/>
        <v>1</v>
      </c>
      <c r="F7">
        <f>G60</f>
        <v>2.5</v>
      </c>
      <c r="G7">
        <f>数据表!T7*100</f>
        <v>267752.727272727</v>
      </c>
      <c r="H7">
        <f ca="1">数据表!R7+C7*1500-B7*1500</f>
        <v>18743.3333332883</v>
      </c>
      <c r="I7">
        <f ca="1" t="shared" si="2"/>
        <v>14.2852246455649</v>
      </c>
      <c r="J7">
        <f>'倾向-优先级表'!D6</f>
        <v>139.11</v>
      </c>
      <c r="K7">
        <f ca="1" t="shared" si="7"/>
        <v>-2339632.372721</v>
      </c>
      <c r="L7">
        <f ca="1" t="shared" si="3"/>
        <v>26743.3333332883</v>
      </c>
      <c r="M7">
        <f ca="1" t="shared" si="4"/>
        <v>10.0119429368009</v>
      </c>
      <c r="N7">
        <f ca="1">G34</f>
        <v>80.0401113522869</v>
      </c>
      <c r="O7">
        <f ca="1" t="shared" si="5"/>
        <v>-1872786.65065499</v>
      </c>
      <c r="P7">
        <f ca="1">IF(E7=1,数据表!U7,IF(D7=1,K7,O7))</f>
        <v>6921.47727272722</v>
      </c>
      <c r="Q7">
        <f ca="1">COUNTIF(P8:P29,"&gt;"&amp;P7)+COUNTIF(P3:P6,"&gt;="&amp;P7)+1</f>
        <v>7</v>
      </c>
      <c r="R7" t="s">
        <v>225</v>
      </c>
      <c r="S7">
        <f ca="1" t="shared" si="6"/>
        <v>6921.47727272722</v>
      </c>
    </row>
    <row r="8" ht="15.6" spans="1:19">
      <c r="A8" s="15" t="s">
        <v>229</v>
      </c>
      <c r="B8" s="16">
        <v>2</v>
      </c>
      <c r="C8">
        <f ca="1">数据表!K39</f>
        <v>12.2455555555255</v>
      </c>
      <c r="D8">
        <f ca="1" t="shared" si="0"/>
        <v>1</v>
      </c>
      <c r="E8">
        <f ca="1" t="shared" si="1"/>
        <v>1</v>
      </c>
      <c r="F8">
        <f>G60</f>
        <v>2.5</v>
      </c>
      <c r="G8">
        <f>数据表!T8*100</f>
        <v>484014.545454545</v>
      </c>
      <c r="H8">
        <f ca="1">数据表!R8+C8*1500-B8*1500</f>
        <v>18743.3333332883</v>
      </c>
      <c r="I8">
        <f ca="1" t="shared" si="2"/>
        <v>25.8232907054442</v>
      </c>
      <c r="J8">
        <f>'倾向-优先级表'!D6</f>
        <v>139.11</v>
      </c>
      <c r="K8">
        <f ca="1" t="shared" si="7"/>
        <v>-2123370.55453919</v>
      </c>
      <c r="L8">
        <f ca="1" t="shared" si="3"/>
        <v>26743.3333332883</v>
      </c>
      <c r="M8">
        <f ca="1" t="shared" si="4"/>
        <v>18.0985122319093</v>
      </c>
      <c r="N8">
        <f ca="1">G34</f>
        <v>80.0401113522869</v>
      </c>
      <c r="O8">
        <f ca="1" t="shared" si="5"/>
        <v>-1656524.83247317</v>
      </c>
      <c r="P8">
        <f ca="1">IF(E8=1,数据表!U8,IF(D8=1,K8,O8))</f>
        <v>14518.2954545454</v>
      </c>
      <c r="Q8">
        <f ca="1">COUNTIF(P9:P29,"&gt;"&amp;P8)+COUNTIF(P3:P7,"&gt;="&amp;P8)+1</f>
        <v>6</v>
      </c>
      <c r="R8" t="s">
        <v>226</v>
      </c>
      <c r="S8">
        <f ca="1" t="shared" si="6"/>
        <v>14518.2954545454</v>
      </c>
    </row>
    <row r="9" ht="15.6" spans="1:19">
      <c r="A9" s="7" t="s">
        <v>229</v>
      </c>
      <c r="B9" s="8">
        <v>4</v>
      </c>
      <c r="C9">
        <f ca="1">数据表!K39</f>
        <v>12.2455555555255</v>
      </c>
      <c r="D9">
        <f ca="1" t="shared" si="0"/>
        <v>1</v>
      </c>
      <c r="E9">
        <f ca="1" t="shared" si="1"/>
        <v>1</v>
      </c>
      <c r="F9">
        <f>G60</f>
        <v>2.5</v>
      </c>
      <c r="G9">
        <f>数据表!T9*100</f>
        <v>1050414.54545455</v>
      </c>
      <c r="H9">
        <f ca="1">数据表!R9+C9*1500-B9*1500</f>
        <v>18743.3333332883</v>
      </c>
      <c r="I9">
        <f ca="1" t="shared" si="2"/>
        <v>56.0420351479855</v>
      </c>
      <c r="J9">
        <f>'倾向-优先级表'!D6</f>
        <v>139.11</v>
      </c>
      <c r="K9">
        <f ca="1" t="shared" si="7"/>
        <v>-1556970.55453918</v>
      </c>
      <c r="L9">
        <f ca="1" t="shared" si="3"/>
        <v>26743.3333332883</v>
      </c>
      <c r="M9">
        <f ca="1" t="shared" si="4"/>
        <v>39.2776222905267</v>
      </c>
      <c r="N9">
        <f ca="1">G34</f>
        <v>80.0401113522869</v>
      </c>
      <c r="O9">
        <f ca="1" t="shared" si="5"/>
        <v>-1090124.83247317</v>
      </c>
      <c r="P9">
        <f ca="1">IF(E9=1,数据表!U9,IF(D9=1,K9,O9))</f>
        <v>163588.295454545</v>
      </c>
      <c r="Q9">
        <f ca="1">COUNTIF(P10:P29,"&gt;"&amp;P9)+COUNTIF(P3:P8,"&gt;="&amp;P9)+1</f>
        <v>4</v>
      </c>
      <c r="R9" t="s">
        <v>228</v>
      </c>
      <c r="S9">
        <f ca="1" t="shared" si="6"/>
        <v>163588.295454545</v>
      </c>
    </row>
    <row r="10" ht="16.35" spans="1:19">
      <c r="A10" s="17" t="s">
        <v>229</v>
      </c>
      <c r="B10" s="18">
        <v>0.5</v>
      </c>
      <c r="C10">
        <f ca="1">数据表!K39</f>
        <v>12.2455555555255</v>
      </c>
      <c r="D10">
        <f ca="1" t="shared" si="0"/>
        <v>1</v>
      </c>
      <c r="E10">
        <f ca="1" t="shared" si="1"/>
        <v>1</v>
      </c>
      <c r="F10">
        <f>G60</f>
        <v>2.5</v>
      </c>
      <c r="G10">
        <f>数据表!T10*100</f>
        <v>2100829.09090909</v>
      </c>
      <c r="H10">
        <f ca="1">数据表!R10+C10*1500-B10*1500</f>
        <v>18743.3333332883</v>
      </c>
      <c r="I10">
        <f ca="1" t="shared" si="2"/>
        <v>112.084070295971</v>
      </c>
      <c r="J10">
        <f>'倾向-优先级表'!D6</f>
        <v>139.11</v>
      </c>
      <c r="K10">
        <f ca="1" t="shared" si="7"/>
        <v>-506556.009084641</v>
      </c>
      <c r="L10">
        <f ca="1" t="shared" si="3"/>
        <v>26743.3333332883</v>
      </c>
      <c r="M10">
        <f ca="1" t="shared" si="4"/>
        <v>78.5552445810531</v>
      </c>
      <c r="N10">
        <f ca="1">G34</f>
        <v>80.0401113522869</v>
      </c>
      <c r="O10">
        <f ca="1" t="shared" si="5"/>
        <v>-39710.2870186278</v>
      </c>
      <c r="P10">
        <f ca="1">IF(E10=1,数据表!U10,IF(D10=1,K10,O10))</f>
        <v>1944330.34090909</v>
      </c>
      <c r="Q10">
        <f ca="1">COUNTIF(P11:P29,"&gt;"&amp;P10)+COUNTIF(P3:P9,"&gt;="&amp;P10)+1</f>
        <v>1</v>
      </c>
      <c r="R10" t="s">
        <v>230</v>
      </c>
      <c r="S10">
        <f ca="1" t="shared" si="6"/>
        <v>1944330.34090909</v>
      </c>
    </row>
    <row r="11" ht="15.6" spans="1:19">
      <c r="A11" s="19" t="s">
        <v>234</v>
      </c>
      <c r="B11" s="6">
        <v>2.5</v>
      </c>
      <c r="C11">
        <f ca="1">数据表!K39</f>
        <v>12.2455555555255</v>
      </c>
      <c r="D11">
        <f ca="1" t="shared" si="0"/>
        <v>1</v>
      </c>
      <c r="E11">
        <f ca="1" t="shared" si="1"/>
        <v>1</v>
      </c>
      <c r="F11">
        <f>G60</f>
        <v>2.5</v>
      </c>
      <c r="G11">
        <f>数据表!T11*100</f>
        <v>328254.545454545</v>
      </c>
      <c r="H11">
        <f ca="1">数据表!R11+C11*1500-B11*1500</f>
        <v>18743.3333332883</v>
      </c>
      <c r="I11">
        <f ca="1" t="shared" si="2"/>
        <v>17.5131359837454</v>
      </c>
      <c r="J11">
        <f>'倾向-优先级表'!D6</f>
        <v>139.11</v>
      </c>
      <c r="K11">
        <f ca="1" t="shared" si="7"/>
        <v>-2279130.55453919</v>
      </c>
      <c r="L11">
        <f ca="1" t="shared" si="3"/>
        <v>26743.3333332883</v>
      </c>
      <c r="M11">
        <f ca="1" t="shared" si="4"/>
        <v>12.2742569657895</v>
      </c>
      <c r="N11">
        <f ca="1">G34</f>
        <v>80.0401113522869</v>
      </c>
      <c r="O11">
        <f ca="1" t="shared" si="5"/>
        <v>-1812284.83247317</v>
      </c>
      <c r="P11">
        <f ca="1">IF(E11=1,数据表!U11,IF(D11=1,K11,O11))</f>
        <v>-245574.204545455</v>
      </c>
      <c r="Q11">
        <f ca="1">COUNTIF(P12:P29,"&gt;"&amp;P11)+COUNTIF(P3:P10,"&gt;="&amp;P11)+1</f>
        <v>11</v>
      </c>
      <c r="R11" t="s">
        <v>231</v>
      </c>
      <c r="S11">
        <f ca="1" t="shared" si="6"/>
        <v>-245574.204545455</v>
      </c>
    </row>
    <row r="12" ht="15.6" spans="1:19">
      <c r="A12" s="7" t="s">
        <v>234</v>
      </c>
      <c r="B12" s="8">
        <v>5</v>
      </c>
      <c r="C12">
        <f ca="1">数据表!K39</f>
        <v>12.2455555555255</v>
      </c>
      <c r="D12">
        <f ca="1" t="shared" si="0"/>
        <v>1</v>
      </c>
      <c r="E12">
        <f ca="1" t="shared" si="1"/>
        <v>1</v>
      </c>
      <c r="F12">
        <f>G60</f>
        <v>2.5</v>
      </c>
      <c r="G12">
        <f>数据表!T12*100</f>
        <v>498818.181818182</v>
      </c>
      <c r="H12">
        <f ca="1">数据表!R12+C12*1500-B12*1500</f>
        <v>18743.3333332883</v>
      </c>
      <c r="I12">
        <f ca="1" t="shared" si="2"/>
        <v>26.6130987988288</v>
      </c>
      <c r="J12">
        <f>'倾向-优先级表'!D6</f>
        <v>139.11</v>
      </c>
      <c r="K12">
        <f ca="1" t="shared" si="7"/>
        <v>-2108566.91817555</v>
      </c>
      <c r="L12">
        <f ca="1" t="shared" si="3"/>
        <v>26743.3333332883</v>
      </c>
      <c r="M12">
        <f ca="1" t="shared" si="4"/>
        <v>18.6520571538959</v>
      </c>
      <c r="N12">
        <f ca="1">G34</f>
        <v>80.0401113522869</v>
      </c>
      <c r="O12">
        <f ca="1" t="shared" si="5"/>
        <v>-1641721.19610954</v>
      </c>
      <c r="P12">
        <f ca="1">IF(E12=1,数据表!U12,IF(D12=1,K12,O12))</f>
        <v>-596673.068181818</v>
      </c>
      <c r="Q12">
        <f ca="1">COUNTIF(P13:P29,"&gt;"&amp;P12)+COUNTIF(P3:P11,"&gt;="&amp;P12)+1</f>
        <v>20</v>
      </c>
      <c r="R12" t="s">
        <v>232</v>
      </c>
      <c r="S12">
        <f ca="1" t="shared" si="6"/>
        <v>-596673.068181818</v>
      </c>
    </row>
    <row r="13" ht="15.6" spans="1:19">
      <c r="A13" s="9" t="s">
        <v>234</v>
      </c>
      <c r="B13" s="10">
        <v>8</v>
      </c>
      <c r="C13">
        <f ca="1">数据表!K39</f>
        <v>12.2455555555255</v>
      </c>
      <c r="D13">
        <f ca="1" t="shared" si="0"/>
        <v>1</v>
      </c>
      <c r="E13">
        <f ca="1" t="shared" si="1"/>
        <v>1</v>
      </c>
      <c r="F13">
        <f>G60</f>
        <v>2.5</v>
      </c>
      <c r="G13">
        <f>数据表!T13*100</f>
        <v>839301.818181818</v>
      </c>
      <c r="H13">
        <f ca="1">数据表!R13+C13*1500-B13*1500</f>
        <v>18743.3333332883</v>
      </c>
      <c r="I13">
        <f ca="1" t="shared" si="2"/>
        <v>44.7786849466745</v>
      </c>
      <c r="J13">
        <f>'倾向-优先级表'!D6</f>
        <v>139.11</v>
      </c>
      <c r="K13">
        <f ca="1" t="shared" si="7"/>
        <v>-1768083.28181191</v>
      </c>
      <c r="L13">
        <f ca="1" t="shared" si="3"/>
        <v>26743.3333332883</v>
      </c>
      <c r="M13">
        <f ca="1" t="shared" si="4"/>
        <v>31.3835903595874</v>
      </c>
      <c r="N13">
        <f ca="1">G34</f>
        <v>80.0401113522869</v>
      </c>
      <c r="O13">
        <f ca="1" t="shared" si="5"/>
        <v>-1301237.5597459</v>
      </c>
      <c r="P13">
        <f ca="1">IF(E13=1,数据表!U13,IF(D13=1,K13,O13))</f>
        <v>-882184.431818182</v>
      </c>
      <c r="Q13">
        <f ca="1">COUNTIF(P14:P29,"&gt;"&amp;P13)+COUNTIF(P3:P12,"&gt;="&amp;P13)+1</f>
        <v>23</v>
      </c>
      <c r="R13" t="s">
        <v>233</v>
      </c>
      <c r="S13">
        <f ca="1" t="shared" si="6"/>
        <v>-882184.431818182</v>
      </c>
    </row>
    <row r="14" ht="15.6" spans="1:19">
      <c r="A14" s="9" t="s">
        <v>234</v>
      </c>
      <c r="B14" s="10">
        <v>0.5</v>
      </c>
      <c r="C14">
        <f ca="1">数据表!K39</f>
        <v>12.2455555555255</v>
      </c>
      <c r="D14">
        <f ca="1" t="shared" si="0"/>
        <v>1</v>
      </c>
      <c r="E14">
        <f ca="1" t="shared" si="1"/>
        <v>1</v>
      </c>
      <c r="F14">
        <f>G60</f>
        <v>2.5</v>
      </c>
      <c r="G14">
        <f>数据表!T14*100</f>
        <v>1210358.18181818</v>
      </c>
      <c r="H14">
        <f ca="1">数据表!R14+C14*1500-B14*1500</f>
        <v>22743.3333332883</v>
      </c>
      <c r="I14">
        <f ca="1" t="shared" si="2"/>
        <v>53.2181525056681</v>
      </c>
      <c r="J14">
        <f>'倾向-优先级表'!D6</f>
        <v>139.11</v>
      </c>
      <c r="K14">
        <f ca="1" t="shared" si="7"/>
        <v>-1953466.91817555</v>
      </c>
      <c r="L14">
        <f ca="1" t="shared" si="3"/>
        <v>30743.3333332883</v>
      </c>
      <c r="M14">
        <f ca="1" t="shared" si="4"/>
        <v>39.3697771382399</v>
      </c>
      <c r="N14">
        <f ca="1">G34</f>
        <v>80.0401113522869</v>
      </c>
      <c r="O14">
        <f ca="1" t="shared" si="5"/>
        <v>-1250341.64151869</v>
      </c>
      <c r="P14">
        <f ca="1">IF(E14=1,数据表!U14,IF(D14=1,K14,O14))</f>
        <v>497419.431818182</v>
      </c>
      <c r="Q14">
        <f ca="1">COUNTIF(P15:P29,"&gt;"&amp;P14)+COUNTIF(P3:P13,"&gt;="&amp;P14)+1</f>
        <v>3</v>
      </c>
      <c r="R14" t="s">
        <v>235</v>
      </c>
      <c r="S14">
        <f ca="1" t="shared" si="6"/>
        <v>497419.431818182</v>
      </c>
    </row>
    <row r="15" ht="15.6" spans="1:19">
      <c r="A15" s="15" t="s">
        <v>239</v>
      </c>
      <c r="B15" s="16">
        <v>2.5</v>
      </c>
      <c r="C15">
        <f ca="1">数据表!K39</f>
        <v>12.2455555555255</v>
      </c>
      <c r="D15">
        <f ca="1" t="shared" si="0"/>
        <v>1</v>
      </c>
      <c r="E15">
        <f ca="1" t="shared" si="1"/>
        <v>1</v>
      </c>
      <c r="F15">
        <f>G60</f>
        <v>2.5</v>
      </c>
      <c r="G15">
        <f>数据表!T15*100</f>
        <v>376527.272727273</v>
      </c>
      <c r="H15">
        <f ca="1">数据表!R15+C15*1500-B15*1500</f>
        <v>18743.3333332883</v>
      </c>
      <c r="I15">
        <f ca="1" t="shared" si="2"/>
        <v>20.0885971578256</v>
      </c>
      <c r="J15">
        <f>'倾向-优先级表'!D6</f>
        <v>139.11</v>
      </c>
      <c r="K15">
        <f ca="1" t="shared" si="7"/>
        <v>-2230857.82726646</v>
      </c>
      <c r="L15">
        <f ca="1" t="shared" si="3"/>
        <v>26743.3333332883</v>
      </c>
      <c r="M15">
        <f ca="1" t="shared" si="4"/>
        <v>14.0792947548763</v>
      </c>
      <c r="N15">
        <f ca="1">G34</f>
        <v>80.0401113522869</v>
      </c>
      <c r="O15">
        <f ca="1" t="shared" si="5"/>
        <v>-1764012.10520044</v>
      </c>
      <c r="P15">
        <f ca="1">IF(E15=1,数据表!U15,IF(D15=1,K15,O15))</f>
        <v>-197301.477272727</v>
      </c>
      <c r="Q15">
        <f ca="1">COUNTIF(P16:P29,"&gt;"&amp;P15)+COUNTIF(P3:P14,"&gt;="&amp;P15)+1</f>
        <v>10</v>
      </c>
      <c r="R15" t="s">
        <v>236</v>
      </c>
      <c r="S15">
        <f ca="1" t="shared" si="6"/>
        <v>-197301.477272727</v>
      </c>
    </row>
    <row r="16" ht="15.6" spans="1:19">
      <c r="A16" s="7" t="s">
        <v>239</v>
      </c>
      <c r="B16" s="8">
        <v>5</v>
      </c>
      <c r="C16">
        <f ca="1">数据表!K39</f>
        <v>12.2455555555255</v>
      </c>
      <c r="D16">
        <f ca="1" t="shared" si="0"/>
        <v>1</v>
      </c>
      <c r="E16">
        <f ca="1" t="shared" si="1"/>
        <v>1</v>
      </c>
      <c r="F16">
        <f>G60</f>
        <v>2.5</v>
      </c>
      <c r="G16">
        <f>数据表!T16*100</f>
        <v>585709.090909091</v>
      </c>
      <c r="H16">
        <f ca="1">数据表!R16+C16*1500-B16*1500</f>
        <v>18743.3333332883</v>
      </c>
      <c r="I16">
        <f ca="1" t="shared" si="2"/>
        <v>31.2489289121732</v>
      </c>
      <c r="J16">
        <f>'倾向-优先级表'!D6</f>
        <v>139.11</v>
      </c>
      <c r="K16">
        <f ca="1" t="shared" si="7"/>
        <v>-2021676.00908464</v>
      </c>
      <c r="L16">
        <f ca="1" t="shared" si="3"/>
        <v>26743.3333332883</v>
      </c>
      <c r="M16">
        <f ca="1" t="shared" si="4"/>
        <v>21.901125174252</v>
      </c>
      <c r="N16">
        <f ca="1">G34</f>
        <v>80.0401113522869</v>
      </c>
      <c r="O16">
        <f ca="1" t="shared" si="5"/>
        <v>-1554830.28701863</v>
      </c>
      <c r="P16">
        <f ca="1">IF(E16=1,数据表!U16,IF(D16=1,K16,O16))</f>
        <v>-509782.159090909</v>
      </c>
      <c r="Q16">
        <f ca="1">COUNTIF(P17:P29,"&gt;"&amp;P16)+COUNTIF(P3:P15,"&gt;="&amp;P16)+1</f>
        <v>19</v>
      </c>
      <c r="R16" t="s">
        <v>237</v>
      </c>
      <c r="S16">
        <f ca="1" t="shared" si="6"/>
        <v>-509782.159090909</v>
      </c>
    </row>
    <row r="17" ht="15.6" spans="1:19">
      <c r="A17" s="9" t="s">
        <v>239</v>
      </c>
      <c r="B17" s="10">
        <v>8</v>
      </c>
      <c r="C17">
        <f ca="1">数据表!K39</f>
        <v>12.2455555555255</v>
      </c>
      <c r="D17">
        <f ca="1" t="shared" si="0"/>
        <v>1</v>
      </c>
      <c r="E17">
        <f ca="1" t="shared" si="1"/>
        <v>1</v>
      </c>
      <c r="F17">
        <f>G60</f>
        <v>2.5</v>
      </c>
      <c r="G17">
        <f>数据表!T17*100</f>
        <v>978327.272727273</v>
      </c>
      <c r="H17">
        <f ca="1">数据表!R17+C17*1500-B17*1500</f>
        <v>18743.3333332883</v>
      </c>
      <c r="I17">
        <f ca="1" t="shared" si="2"/>
        <v>52.1960131280255</v>
      </c>
      <c r="J17">
        <f>'倾向-优先级表'!D6</f>
        <v>139.11</v>
      </c>
      <c r="K17">
        <f ca="1" t="shared" si="7"/>
        <v>-1629057.82726646</v>
      </c>
      <c r="L17">
        <f ca="1" t="shared" si="3"/>
        <v>26743.3333332883</v>
      </c>
      <c r="M17">
        <f ca="1" t="shared" si="4"/>
        <v>36.5820991921571</v>
      </c>
      <c r="N17">
        <f ca="1">G34</f>
        <v>80.0401113522869</v>
      </c>
      <c r="O17">
        <f ca="1" t="shared" si="5"/>
        <v>-1162212.10520044</v>
      </c>
      <c r="P17">
        <f ca="1">IF(E17=1,数据表!U17,IF(D17=1,K17,O17))</f>
        <v>-743158.977272727</v>
      </c>
      <c r="Q17">
        <f ca="1">COUNTIF(P18:P29,"&gt;"&amp;P17)+COUNTIF(P3:P16,"&gt;="&amp;P17)+1</f>
        <v>22</v>
      </c>
      <c r="R17" t="s">
        <v>238</v>
      </c>
      <c r="S17">
        <f ca="1" t="shared" si="6"/>
        <v>-743158.977272727</v>
      </c>
    </row>
    <row r="18" ht="16.35" spans="1:19">
      <c r="A18" s="20" t="s">
        <v>239</v>
      </c>
      <c r="B18" s="21">
        <v>0.5</v>
      </c>
      <c r="C18">
        <f ca="1">数据表!K39</f>
        <v>12.2455555555255</v>
      </c>
      <c r="D18">
        <f ca="1" t="shared" si="0"/>
        <v>1</v>
      </c>
      <c r="E18">
        <f ca="1" t="shared" si="1"/>
        <v>1</v>
      </c>
      <c r="F18">
        <f>G60</f>
        <v>2.5</v>
      </c>
      <c r="G18">
        <f>数据表!T18*100</f>
        <v>1401196.36363636</v>
      </c>
      <c r="H18">
        <f ca="1">数据表!R18+C18*1500-B18*1500</f>
        <v>22743.3333332883</v>
      </c>
      <c r="I18">
        <f ca="1" t="shared" si="2"/>
        <v>61.6091029007388</v>
      </c>
      <c r="J18">
        <f>'倾向-优先级表'!D6</f>
        <v>139.11</v>
      </c>
      <c r="K18">
        <f ca="1" t="shared" si="7"/>
        <v>-1762628.73635737</v>
      </c>
      <c r="L18">
        <f ca="1" t="shared" si="3"/>
        <v>30743.3333332883</v>
      </c>
      <c r="M18">
        <f ca="1" t="shared" si="4"/>
        <v>45.5772426641575</v>
      </c>
      <c r="N18">
        <f ca="1">G34</f>
        <v>80.0401113522869</v>
      </c>
      <c r="O18">
        <f ca="1" t="shared" si="5"/>
        <v>-1059503.45970051</v>
      </c>
      <c r="P18">
        <f ca="1">IF(E18=1,数据表!U18,IF(D18=1,K18,O18))</f>
        <v>688257.613636363</v>
      </c>
      <c r="Q18">
        <f ca="1">COUNTIF(P19:P29,"&gt;"&amp;P18)+COUNTIF(P3:P17,"&gt;="&amp;P18)+1</f>
        <v>2</v>
      </c>
      <c r="R18" t="s">
        <v>240</v>
      </c>
      <c r="S18">
        <f ca="1" t="shared" si="6"/>
        <v>688257.613636363</v>
      </c>
    </row>
    <row r="19" ht="15.6" spans="1:19">
      <c r="A19" s="13" t="s">
        <v>244</v>
      </c>
      <c r="B19" s="14">
        <v>1.5</v>
      </c>
      <c r="C19">
        <f ca="1">数据表!K39</f>
        <v>12.2455555555255</v>
      </c>
      <c r="D19">
        <f ca="1" t="shared" si="0"/>
        <v>1</v>
      </c>
      <c r="E19">
        <f ca="1" t="shared" si="1"/>
        <v>1</v>
      </c>
      <c r="F19">
        <f>G60</f>
        <v>2.5</v>
      </c>
      <c r="G19">
        <f>数据表!T19*100</f>
        <v>208538.181818182</v>
      </c>
      <c r="H19">
        <f ca="1">数据表!R19+C19*1500-B19*1500</f>
        <v>18743.3333332883</v>
      </c>
      <c r="I19">
        <f ca="1" t="shared" si="2"/>
        <v>11.1259922720265</v>
      </c>
      <c r="J19">
        <f>'倾向-优先级表'!D6</f>
        <v>139.11</v>
      </c>
      <c r="K19">
        <f ca="1" t="shared" si="7"/>
        <v>-2398846.91817555</v>
      </c>
      <c r="L19">
        <f ca="1" t="shared" si="3"/>
        <v>26743.3333332883</v>
      </c>
      <c r="M19">
        <f ca="1" t="shared" si="4"/>
        <v>7.79776324885455</v>
      </c>
      <c r="N19">
        <f ca="1">G34</f>
        <v>80.0401113522869</v>
      </c>
      <c r="O19">
        <f ca="1" t="shared" si="5"/>
        <v>-1932001.19610954</v>
      </c>
      <c r="P19">
        <f ca="1">IF(E19=1,数据表!U19,IF(D19=1,K19,O19))</f>
        <v>-156625.568181818</v>
      </c>
      <c r="Q19">
        <f ca="1">COUNTIF(P20:P29,"&gt;"&amp;P19)+COUNTIF(P3:P18,"&gt;="&amp;P19)+1</f>
        <v>9</v>
      </c>
      <c r="R19" t="s">
        <v>241</v>
      </c>
      <c r="S19">
        <f ca="1" t="shared" si="6"/>
        <v>-156625.568181818</v>
      </c>
    </row>
    <row r="20" ht="15.6" spans="1:19">
      <c r="A20" s="15" t="s">
        <v>244</v>
      </c>
      <c r="B20" s="16">
        <v>2.5</v>
      </c>
      <c r="C20">
        <f ca="1">数据表!K39</f>
        <v>12.2455555555255</v>
      </c>
      <c r="D20">
        <f ca="1" t="shared" si="0"/>
        <v>1</v>
      </c>
      <c r="E20">
        <f ca="1" t="shared" si="1"/>
        <v>1</v>
      </c>
      <c r="F20">
        <f>G60</f>
        <v>2.5</v>
      </c>
      <c r="G20">
        <f>数据表!T20*100</f>
        <v>284809.090909091</v>
      </c>
      <c r="H20">
        <f ca="1">数据表!R20+C20*1500-B20*1500</f>
        <v>18743.3333332883</v>
      </c>
      <c r="I20">
        <f ca="1" t="shared" si="2"/>
        <v>15.1952209270732</v>
      </c>
      <c r="J20">
        <f>'倾向-优先级表'!D6</f>
        <v>139.11</v>
      </c>
      <c r="K20">
        <f ca="1" t="shared" si="7"/>
        <v>-2322576.00908464</v>
      </c>
      <c r="L20">
        <f ca="1" t="shared" si="3"/>
        <v>26743.3333332883</v>
      </c>
      <c r="M20">
        <f ca="1" t="shared" si="4"/>
        <v>10.6497229556115</v>
      </c>
      <c r="N20">
        <f ca="1">G34</f>
        <v>80.0401113522869</v>
      </c>
      <c r="O20">
        <f ca="1" t="shared" si="5"/>
        <v>-1855730.28701863</v>
      </c>
      <c r="P20">
        <f ca="1">IF(E20=1,数据表!U20,IF(D20=1,K20,O20))</f>
        <v>-289019.659090909</v>
      </c>
      <c r="Q20">
        <f ca="1">COUNTIF(P21:P29,"&gt;"&amp;P20)+COUNTIF(P3:P19,"&gt;="&amp;P20)+1</f>
        <v>17</v>
      </c>
      <c r="R20" s="30" t="s">
        <v>242</v>
      </c>
      <c r="S20">
        <f ca="1" t="shared" si="6"/>
        <v>-289019.659090909</v>
      </c>
    </row>
    <row r="21" ht="16.35" spans="1:19">
      <c r="A21" s="22" t="s">
        <v>244</v>
      </c>
      <c r="B21" s="23">
        <v>4</v>
      </c>
      <c r="C21">
        <f ca="1">数据表!K39</f>
        <v>12.2455555555255</v>
      </c>
      <c r="D21">
        <f ca="1" t="shared" si="0"/>
        <v>1</v>
      </c>
      <c r="E21">
        <f ca="1" t="shared" si="1"/>
        <v>1</v>
      </c>
      <c r="F21">
        <f>G60</f>
        <v>2.5</v>
      </c>
      <c r="G21">
        <f>数据表!T21*100</f>
        <v>741469.090909091</v>
      </c>
      <c r="H21">
        <f ca="1">数据表!R21+C21*1500-B21*1500</f>
        <v>18743.3333332883</v>
      </c>
      <c r="I21">
        <f ca="1" t="shared" si="2"/>
        <v>39.559083633872</v>
      </c>
      <c r="J21">
        <f>'倾向-优先级表'!D6</f>
        <v>139.11</v>
      </c>
      <c r="K21">
        <f ca="1" t="shared" si="7"/>
        <v>-1865916.00908464</v>
      </c>
      <c r="L21">
        <f ca="1" t="shared" si="3"/>
        <v>26743.3333332883</v>
      </c>
      <c r="M21">
        <f ca="1" t="shared" si="4"/>
        <v>27.7253804403717</v>
      </c>
      <c r="N21">
        <f ca="1">G34</f>
        <v>80.0401113522869</v>
      </c>
      <c r="O21">
        <f ca="1" t="shared" si="5"/>
        <v>-1399070.28701863</v>
      </c>
      <c r="P21">
        <f ca="1">IF(E21=1,数据表!U21,IF(D21=1,K21,O21))</f>
        <v>-145357.159090909</v>
      </c>
      <c r="Q21">
        <f ca="1">COUNTIF(P22:P29,"&gt;"&amp;P21)+COUNTIF(P3:P20,"&gt;="&amp;P21)+1</f>
        <v>8</v>
      </c>
      <c r="R21" t="s">
        <v>243</v>
      </c>
      <c r="S21">
        <f ca="1" t="shared" si="6"/>
        <v>-145357.159090909</v>
      </c>
    </row>
    <row r="22" ht="15.6" spans="1:19">
      <c r="A22" s="19" t="s">
        <v>248</v>
      </c>
      <c r="B22" s="6">
        <v>2</v>
      </c>
      <c r="C22">
        <f ca="1">数据表!K39</f>
        <v>12.2455555555255</v>
      </c>
      <c r="D22">
        <f ca="1" t="shared" si="0"/>
        <v>1</v>
      </c>
      <c r="E22">
        <f ca="1" t="shared" si="1"/>
        <v>1</v>
      </c>
      <c r="F22">
        <f>G60</f>
        <v>2.5</v>
      </c>
      <c r="G22">
        <f>数据表!T22*100</f>
        <v>185367.272727273</v>
      </c>
      <c r="H22">
        <f ca="1">数据表!R22+C22*1500-B22*1500</f>
        <v>18743.3333332883</v>
      </c>
      <c r="I22">
        <f ca="1" t="shared" si="2"/>
        <v>9.88977090846801</v>
      </c>
      <c r="J22">
        <f>'倾向-优先级表'!D6</f>
        <v>139.11</v>
      </c>
      <c r="K22">
        <f ca="1" t="shared" si="7"/>
        <v>-2422017.82726646</v>
      </c>
      <c r="L22">
        <f ca="1" t="shared" si="3"/>
        <v>26743.3333332883</v>
      </c>
      <c r="M22">
        <f ca="1" t="shared" si="4"/>
        <v>6.93134511009293</v>
      </c>
      <c r="N22">
        <f ca="1">G34</f>
        <v>80.0401113522869</v>
      </c>
      <c r="O22">
        <f ca="1" t="shared" si="5"/>
        <v>-1955172.10520044</v>
      </c>
      <c r="P22">
        <f ca="1">IF(E22=1,数据表!U22,IF(D22=1,K22,O22))</f>
        <v>-284128.977272727</v>
      </c>
      <c r="Q22">
        <f ca="1">COUNTIF(P23:P29,"&gt;"&amp;P22)+COUNTIF(P3:P21,"&gt;="&amp;P22)+1</f>
        <v>16</v>
      </c>
      <c r="R22" t="s">
        <v>245</v>
      </c>
      <c r="S22">
        <f ca="1" t="shared" si="6"/>
        <v>-284128.977272727</v>
      </c>
    </row>
    <row r="23" ht="16.35" spans="1:19">
      <c r="A23" s="24" t="s">
        <v>248</v>
      </c>
      <c r="B23" s="25">
        <v>2</v>
      </c>
      <c r="C23">
        <f ca="1">数据表!K39</f>
        <v>12.2455555555255</v>
      </c>
      <c r="D23">
        <f ca="1" t="shared" si="0"/>
        <v>1</v>
      </c>
      <c r="E23">
        <f ca="1" t="shared" si="1"/>
        <v>1</v>
      </c>
      <c r="F23">
        <f>G60</f>
        <v>2.5</v>
      </c>
      <c r="G23">
        <f>数据表!T23*100</f>
        <v>216261.818181818</v>
      </c>
      <c r="H23">
        <f ca="1">数据表!R23+C23*1500-B23*1500</f>
        <v>18743.3333332883</v>
      </c>
      <c r="I23">
        <f ca="1" t="shared" si="2"/>
        <v>11.5380660598793</v>
      </c>
      <c r="J23">
        <f>'倾向-优先级表'!D6</f>
        <v>139.11</v>
      </c>
      <c r="K23">
        <f ca="1" t="shared" si="7"/>
        <v>-2391123.28181191</v>
      </c>
      <c r="L23">
        <f ca="1" t="shared" si="3"/>
        <v>26743.3333332883</v>
      </c>
      <c r="M23">
        <f ca="1" t="shared" si="4"/>
        <v>8.0865692951084</v>
      </c>
      <c r="N23">
        <f ca="1">G34</f>
        <v>80.0401113522869</v>
      </c>
      <c r="O23">
        <f ca="1" t="shared" si="5"/>
        <v>-1924277.5597459</v>
      </c>
      <c r="P23">
        <f ca="1">IF(E23=1,数据表!U23,IF(D23=1,K23,O23))</f>
        <v>-253234.431818182</v>
      </c>
      <c r="Q23">
        <f ca="1">COUNTIF(P24:P29,"&gt;"&amp;P23)+COUNTIF(P3:P22,"&gt;="&amp;P23)+1</f>
        <v>12</v>
      </c>
      <c r="R23" t="s">
        <v>246</v>
      </c>
      <c r="S23">
        <f ca="1" t="shared" si="6"/>
        <v>-253234.431818182</v>
      </c>
    </row>
    <row r="24" ht="15.6" spans="1:19">
      <c r="A24" s="26" t="s">
        <v>251</v>
      </c>
      <c r="B24" s="27">
        <v>4</v>
      </c>
      <c r="C24">
        <f ca="1">数据表!K39</f>
        <v>12.2455555555255</v>
      </c>
      <c r="D24">
        <f ca="1" t="shared" si="0"/>
        <v>1</v>
      </c>
      <c r="E24">
        <f ca="1" t="shared" si="1"/>
        <v>1</v>
      </c>
      <c r="F24">
        <f>G60</f>
        <v>2.5</v>
      </c>
      <c r="G24">
        <f>数据表!T24*100</f>
        <v>605018.181818182</v>
      </c>
      <c r="H24">
        <f ca="1">数据表!R24+C24*1500-B24*1500</f>
        <v>18743.3333332883</v>
      </c>
      <c r="I24">
        <f ca="1" t="shared" si="2"/>
        <v>32.2791133818053</v>
      </c>
      <c r="J24">
        <f>'倾向-优先级表'!D6</f>
        <v>139.11</v>
      </c>
      <c r="K24">
        <f ca="1" t="shared" si="7"/>
        <v>-2002366.91817555</v>
      </c>
      <c r="L24">
        <f ca="1" t="shared" si="3"/>
        <v>26743.3333332883</v>
      </c>
      <c r="M24">
        <f ca="1" t="shared" si="4"/>
        <v>22.6231402898866</v>
      </c>
      <c r="N24">
        <f ca="1">G34</f>
        <v>80.0401113522869</v>
      </c>
      <c r="O24">
        <f ca="1" t="shared" si="5"/>
        <v>-1535521.19610954</v>
      </c>
      <c r="P24">
        <f ca="1">IF(E24=1,数据表!U24,IF(D24=1,K24,O24))</f>
        <v>-281808.068181818</v>
      </c>
      <c r="Q24">
        <f ca="1">COUNTIF(P25:P29,"&gt;"&amp;P24)+COUNTIF(P3:P23,"&gt;="&amp;P24)+1</f>
        <v>15</v>
      </c>
      <c r="R24" t="s">
        <v>247</v>
      </c>
      <c r="S24">
        <f ca="1" t="shared" si="6"/>
        <v>-281808.068181818</v>
      </c>
    </row>
    <row r="25" ht="15.6" spans="1:19">
      <c r="A25" s="15" t="s">
        <v>253</v>
      </c>
      <c r="B25" s="16">
        <v>6</v>
      </c>
      <c r="C25">
        <f ca="1">数据表!K39</f>
        <v>12.2455555555255</v>
      </c>
      <c r="D25">
        <f ca="1" t="shared" si="0"/>
        <v>1</v>
      </c>
      <c r="E25">
        <f ca="1" t="shared" si="1"/>
        <v>1</v>
      </c>
      <c r="F25">
        <f>G60</f>
        <v>2.5</v>
      </c>
      <c r="G25">
        <f>数据表!T25*100</f>
        <v>370734.545454545</v>
      </c>
      <c r="H25">
        <f ca="1">数据表!R25+C25*1500-B25*1500</f>
        <v>18743.3333332883</v>
      </c>
      <c r="I25">
        <f ca="1" t="shared" si="2"/>
        <v>19.779541816936</v>
      </c>
      <c r="J25">
        <f>'倾向-优先级表'!D6</f>
        <v>139.11</v>
      </c>
      <c r="K25">
        <f ca="1" t="shared" si="7"/>
        <v>-2236650.55453919</v>
      </c>
      <c r="L25">
        <f ca="1" t="shared" si="3"/>
        <v>26743.3333332883</v>
      </c>
      <c r="M25">
        <f ca="1" t="shared" si="4"/>
        <v>13.8626902201858</v>
      </c>
      <c r="N25">
        <f ca="1">G34</f>
        <v>80.0401113522869</v>
      </c>
      <c r="O25">
        <f ca="1" t="shared" si="5"/>
        <v>-1769804.83247317</v>
      </c>
      <c r="P25">
        <f ca="1">IF(E25=1,数据表!U25,IF(D25=1,K25,O25))</f>
        <v>-933421.704545455</v>
      </c>
      <c r="Q25">
        <f ca="1">COUNTIF(P26:P29,"&gt;"&amp;P25)+COUNTIF(P3:P24,"&gt;="&amp;P25)+1</f>
        <v>24</v>
      </c>
      <c r="R25" t="s">
        <v>249</v>
      </c>
      <c r="S25">
        <f ca="1" t="shared" si="6"/>
        <v>-933421.704545455</v>
      </c>
    </row>
    <row r="26" ht="15.6" spans="1:19">
      <c r="A26" s="7" t="s">
        <v>253</v>
      </c>
      <c r="B26" s="8">
        <v>8</v>
      </c>
      <c r="C26">
        <f ca="1">数据表!K39</f>
        <v>12.2455555555255</v>
      </c>
      <c r="D26">
        <f ca="1" t="shared" si="0"/>
        <v>1</v>
      </c>
      <c r="E26">
        <f ca="1" t="shared" si="1"/>
        <v>1</v>
      </c>
      <c r="F26">
        <f>G60</f>
        <v>2.5</v>
      </c>
      <c r="G26">
        <f>数据表!T26*100</f>
        <v>499461.818181818</v>
      </c>
      <c r="H26">
        <f ca="1">数据表!R26+C26*1500-B26*1500</f>
        <v>18743.3333332883</v>
      </c>
      <c r="I26">
        <f ca="1" t="shared" si="2"/>
        <v>26.6474382811499</v>
      </c>
      <c r="J26">
        <f>'倾向-优先级表'!D6</f>
        <v>139.11</v>
      </c>
      <c r="K26">
        <f ca="1" t="shared" si="7"/>
        <v>-2107923.28181191</v>
      </c>
      <c r="L26">
        <f ca="1" t="shared" si="3"/>
        <v>26743.3333332883</v>
      </c>
      <c r="M26">
        <f ca="1" t="shared" si="4"/>
        <v>18.676124324417</v>
      </c>
      <c r="N26">
        <f ca="1">G34</f>
        <v>80.0401113522869</v>
      </c>
      <c r="O26">
        <f ca="1" t="shared" si="5"/>
        <v>-1641077.5597459</v>
      </c>
      <c r="P26">
        <f ca="1">IF(E26=1,数据表!U26,IF(D26=1,K26,O26))</f>
        <v>-1222024.43181818</v>
      </c>
      <c r="Q26">
        <f ca="1">COUNTIF(P27:P29,"&gt;"&amp;P26)+COUNTIF(P3:P25,"&gt;="&amp;P26)+1</f>
        <v>25</v>
      </c>
      <c r="R26" t="s">
        <v>250</v>
      </c>
      <c r="S26">
        <f ca="1" t="shared" si="6"/>
        <v>-1222024.43181818</v>
      </c>
    </row>
    <row r="27" ht="16.35" spans="1:19">
      <c r="A27" s="17" t="s">
        <v>253</v>
      </c>
      <c r="B27" s="18">
        <v>12</v>
      </c>
      <c r="C27">
        <f ca="1">数据表!K39</f>
        <v>12.2455555555255</v>
      </c>
      <c r="D27">
        <f ca="1" t="shared" si="0"/>
        <v>1</v>
      </c>
      <c r="E27">
        <f ca="1" t="shared" si="1"/>
        <v>0</v>
      </c>
      <c r="F27">
        <f>G60</f>
        <v>2.5</v>
      </c>
      <c r="G27">
        <f>数据表!T27*100</f>
        <v>641061.818181818</v>
      </c>
      <c r="H27">
        <f ca="1">数据表!R27+C27*1500-B27*1500</f>
        <v>18743.3333332883</v>
      </c>
      <c r="I27">
        <f ca="1" t="shared" si="2"/>
        <v>34.2021243917851</v>
      </c>
      <c r="J27">
        <f>'倾向-优先级表'!D6</f>
        <v>139.11</v>
      </c>
      <c r="K27">
        <f ca="1" t="shared" si="7"/>
        <v>-1966323.28181191</v>
      </c>
      <c r="L27">
        <f ca="1" t="shared" si="3"/>
        <v>26743.3333332883</v>
      </c>
      <c r="M27">
        <f ca="1" t="shared" si="4"/>
        <v>23.9709018390714</v>
      </c>
      <c r="N27">
        <f ca="1">G34</f>
        <v>80.0401113522869</v>
      </c>
      <c r="O27">
        <f ca="1" t="shared" si="5"/>
        <v>-1499477.5597459</v>
      </c>
      <c r="P27">
        <f ca="1">IF(E27=1,数据表!U27,IF(D27=1,K27,O27))</f>
        <v>-1966323.28181191</v>
      </c>
      <c r="Q27">
        <f ca="1">COUNTIF(P28:P29,"&gt;"&amp;P27)+COUNTIF(P3:P26,"&gt;="&amp;P27)+1</f>
        <v>27</v>
      </c>
      <c r="R27" t="s">
        <v>252</v>
      </c>
      <c r="S27">
        <f ca="1" t="shared" si="6"/>
        <v>-1966323.28181191</v>
      </c>
    </row>
    <row r="28" ht="16.35" spans="1:19">
      <c r="A28" s="28" t="s">
        <v>255</v>
      </c>
      <c r="B28" s="29">
        <v>3</v>
      </c>
      <c r="C28">
        <f ca="1">数据表!K39</f>
        <v>12.2455555555255</v>
      </c>
      <c r="D28">
        <f ca="1" t="shared" si="0"/>
        <v>1</v>
      </c>
      <c r="E28">
        <f ca="1" t="shared" si="1"/>
        <v>1</v>
      </c>
      <c r="F28">
        <f>G60</f>
        <v>2.5</v>
      </c>
      <c r="G28">
        <f>数据表!T28*100</f>
        <v>169920</v>
      </c>
      <c r="H28">
        <f ca="1">数据表!R28+C28*1500-B28*1500</f>
        <v>18743.3333332883</v>
      </c>
      <c r="I28">
        <f ca="1" t="shared" si="2"/>
        <v>9.06562333276233</v>
      </c>
      <c r="J28">
        <f>'倾向-优先级表'!D6</f>
        <v>139.11</v>
      </c>
      <c r="K28">
        <f ca="1" t="shared" si="7"/>
        <v>-2437465.09999373</v>
      </c>
      <c r="L28">
        <f ca="1" t="shared" si="3"/>
        <v>26743.3333332883</v>
      </c>
      <c r="M28">
        <f ca="1" t="shared" si="4"/>
        <v>6.35373301758518</v>
      </c>
      <c r="N28">
        <f ca="1">G34</f>
        <v>80.0401113522869</v>
      </c>
      <c r="O28">
        <f ca="1" t="shared" si="5"/>
        <v>-1970619.37792772</v>
      </c>
      <c r="P28">
        <f ca="1">IF(E28=1,数据表!U28,IF(D28=1,K28,O28))</f>
        <v>-508241.25</v>
      </c>
      <c r="Q28">
        <f ca="1">COUNTIF(P3:P27,"&gt;="&amp;P28)+1+COUNTIF(P29:P29,"&gt;"&amp;P28)</f>
        <v>18</v>
      </c>
      <c r="R28" t="s">
        <v>254</v>
      </c>
      <c r="S28">
        <f ca="1" t="shared" si="6"/>
        <v>-508241.25</v>
      </c>
    </row>
    <row r="29" spans="1:19">
      <c r="A29" t="s">
        <v>361</v>
      </c>
      <c r="B29" s="30">
        <v>1</v>
      </c>
      <c r="C29">
        <f ca="1">数据表!K39</f>
        <v>12.2455555555255</v>
      </c>
      <c r="D29">
        <f ca="1" t="shared" si="0"/>
        <v>1</v>
      </c>
      <c r="E29">
        <f ca="1" t="shared" si="1"/>
        <v>1</v>
      </c>
      <c r="F29">
        <f>F28</f>
        <v>2.5</v>
      </c>
      <c r="G29">
        <v>0</v>
      </c>
      <c r="H29">
        <f ca="1">H7</f>
        <v>18743.3333332883</v>
      </c>
      <c r="I29">
        <v>0</v>
      </c>
      <c r="J29">
        <f>'倾向-优先级表'!D6</f>
        <v>139.11</v>
      </c>
      <c r="K29">
        <f ca="1" t="shared" si="7"/>
        <v>-2607385.09999373</v>
      </c>
      <c r="L29">
        <f ca="1">L7</f>
        <v>26743.3333332883</v>
      </c>
      <c r="O29">
        <f ca="1">-L29*N28</f>
        <v>-2140539.37792772</v>
      </c>
      <c r="P29">
        <f ca="1">IF(E29=1,数据表!W7,IF(D29=1,K29,O29))</f>
        <v>-260831.25</v>
      </c>
      <c r="Q29">
        <f ca="1">COUNTIF(P3:P28,"&gt;="&amp;P29)+1</f>
        <v>13</v>
      </c>
      <c r="R29" t="s">
        <v>362</v>
      </c>
      <c r="S29">
        <f ca="1" t="shared" si="6"/>
        <v>-260831.25</v>
      </c>
    </row>
    <row r="30" spans="2:2">
      <c r="B30" s="30"/>
    </row>
    <row r="31" spans="2:2">
      <c r="B31" s="30"/>
    </row>
    <row r="32" spans="4:5">
      <c r="D32" t="s">
        <v>363</v>
      </c>
      <c r="E32">
        <f ca="1">E34*'倾向-优先级表'!F115+'倾向-优先级表'!G115*F34</f>
        <v>30368.3333332883</v>
      </c>
    </row>
    <row r="33" spans="1:14">
      <c r="A33" t="s">
        <v>364</v>
      </c>
      <c r="B33" t="s">
        <v>365</v>
      </c>
      <c r="C33" t="s">
        <v>366</v>
      </c>
      <c r="D33" t="s">
        <v>367</v>
      </c>
      <c r="E33" t="s">
        <v>368</v>
      </c>
      <c r="F33" t="s">
        <v>369</v>
      </c>
      <c r="G33" t="s">
        <v>355</v>
      </c>
      <c r="H33" t="s">
        <v>109</v>
      </c>
      <c r="I33" t="s">
        <v>259</v>
      </c>
      <c r="K33" t="s">
        <v>261</v>
      </c>
      <c r="L33" t="s">
        <v>370</v>
      </c>
      <c r="M33" s="31" t="s">
        <v>371</v>
      </c>
      <c r="N33" s="31"/>
    </row>
    <row r="34" spans="1:13">
      <c r="A34">
        <f>白天模拟!Z28</f>
        <v>3662.53337281744</v>
      </c>
      <c r="B34">
        <f>白天模拟!AA28</f>
        <v>5094.77146317177</v>
      </c>
      <c r="C34">
        <f>夜晚模拟!Z28</f>
        <v>12182.8365242045</v>
      </c>
      <c r="D34">
        <f>夜晚模拟!AA28</f>
        <v>6439.84186499673</v>
      </c>
      <c r="E34">
        <f ca="1">数据表!K39</f>
        <v>12.2455555555255</v>
      </c>
      <c r="F34">
        <f>24-'倾向-优先级表'!I13</f>
        <v>8</v>
      </c>
      <c r="G34">
        <f ca="1">(B34*E34+D34*F34)/(A34*E34+C34*F34)*100</f>
        <v>80.0401113522869</v>
      </c>
      <c r="H34">
        <f ca="1">(NOW()-INT(NOW()))*24</f>
        <v>11.5877777778078</v>
      </c>
      <c r="I34">
        <f>(当前时间项目推荐!C16-INT(当前时间项目推荐!C16))*24</f>
        <v>23.8333333333334</v>
      </c>
      <c r="J34">
        <f>IF(I34-'倾向-优先级表'!I13&lt;0,I34+24,I34)</f>
        <v>23.8333333333334</v>
      </c>
      <c r="K34">
        <f ca="1">J34-H34</f>
        <v>12.2455555555256</v>
      </c>
      <c r="L34">
        <f ca="1">K34/白天模拟!R28+1</f>
        <v>6.33844797447753</v>
      </c>
      <c r="M34">
        <f ca="1">COUNTIF(S3:S29,"&gt;0")</f>
        <v>7</v>
      </c>
    </row>
    <row r="35" spans="6:12">
      <c r="F35" s="31"/>
      <c r="G35" s="31"/>
      <c r="K35">
        <f ca="1">J34-H34</f>
        <v>12.2455555555256</v>
      </c>
      <c r="L35">
        <f>'倾向-优先级表'!H14</f>
        <v>12</v>
      </c>
    </row>
    <row r="36" spans="12:12">
      <c r="L36">
        <f>'倾向-优先级表'!M14</f>
        <v>14</v>
      </c>
    </row>
    <row r="37" spans="11:11">
      <c r="K37">
        <f ca="1">1+1/(白天模拟!R29+1)-1/L34</f>
        <v>0.967858554766752</v>
      </c>
    </row>
    <row r="38" spans="11:11">
      <c r="K38">
        <f ca="1">IF(K34&gt;2.5,L35,((K34*L35+(2.5-K34)*L36)/2.5))</f>
        <v>12</v>
      </c>
    </row>
    <row r="39" spans="10:11">
      <c r="J39" t="s">
        <v>305</v>
      </c>
      <c r="K39">
        <f ca="1">ROUND((K38-M34)*K37+M34,0)</f>
        <v>12</v>
      </c>
    </row>
    <row r="60" spans="6:9">
      <c r="F60" t="s">
        <v>372</v>
      </c>
      <c r="G60">
        <f>2.5</f>
        <v>2.5</v>
      </c>
      <c r="H60" t="s">
        <v>373</v>
      </c>
      <c r="I60" t="e">
        <f>IF(当前时间项目推荐!#REF!=0,0.92,0.85)</f>
        <v>#REF!</v>
      </c>
    </row>
    <row r="94" spans="23:25">
      <c r="W94" t="s">
        <v>205</v>
      </c>
      <c r="X94">
        <f>数据表!H3</f>
        <v>13</v>
      </c>
      <c r="Y94" t="e">
        <f>#REF!</f>
        <v>#REF!</v>
      </c>
    </row>
    <row r="95" spans="23:25">
      <c r="W95" t="s">
        <v>211</v>
      </c>
      <c r="X95">
        <f>数据表!H4</f>
        <v>20</v>
      </c>
      <c r="Y95" t="e">
        <f>#REF!</f>
        <v>#REF!</v>
      </c>
    </row>
    <row r="96" spans="23:25">
      <c r="W96" t="s">
        <v>222</v>
      </c>
      <c r="X96">
        <f>数据表!H5</f>
        <v>25</v>
      </c>
      <c r="Y96" t="e">
        <f>#REF!</f>
        <v>#REF!</v>
      </c>
    </row>
    <row r="97" spans="23:25">
      <c r="W97" t="s">
        <v>224</v>
      </c>
      <c r="X97">
        <f>数据表!H6</f>
        <v>5</v>
      </c>
      <c r="Y97" t="e">
        <f>#REF!</f>
        <v>#REF!</v>
      </c>
    </row>
    <row r="98" spans="23:25">
      <c r="W98" t="s">
        <v>225</v>
      </c>
      <c r="X98">
        <f>数据表!H7</f>
        <v>7</v>
      </c>
      <c r="Y98" t="e">
        <f>#REF!</f>
        <v>#REF!</v>
      </c>
    </row>
    <row r="99" spans="23:25">
      <c r="W99" t="s">
        <v>226</v>
      </c>
      <c r="X99">
        <f>数据表!H8</f>
        <v>6</v>
      </c>
      <c r="Y99" t="e">
        <f>#REF!</f>
        <v>#REF!</v>
      </c>
    </row>
    <row r="100" spans="23:25">
      <c r="W100" t="s">
        <v>228</v>
      </c>
      <c r="X100">
        <f>数据表!H9</f>
        <v>4</v>
      </c>
      <c r="Y100" t="e">
        <f>#REF!</f>
        <v>#REF!</v>
      </c>
    </row>
    <row r="101" spans="23:25">
      <c r="W101" t="s">
        <v>230</v>
      </c>
      <c r="X101">
        <f>数据表!H10</f>
        <v>1</v>
      </c>
      <c r="Y101" t="e">
        <f>#REF!</f>
        <v>#REF!</v>
      </c>
    </row>
    <row r="102" spans="23:25">
      <c r="W102" t="s">
        <v>231</v>
      </c>
      <c r="X102">
        <f>数据表!H11</f>
        <v>11</v>
      </c>
      <c r="Y102" t="e">
        <f>#REF!</f>
        <v>#REF!</v>
      </c>
    </row>
    <row r="103" spans="23:25">
      <c r="W103" t="s">
        <v>232</v>
      </c>
      <c r="X103">
        <f>数据表!H12</f>
        <v>19</v>
      </c>
      <c r="Y103" t="e">
        <f>#REF!</f>
        <v>#REF!</v>
      </c>
    </row>
    <row r="104" spans="23:25">
      <c r="W104" t="s">
        <v>233</v>
      </c>
      <c r="X104">
        <f>数据表!H13</f>
        <v>22</v>
      </c>
      <c r="Y104" t="e">
        <f>#REF!</f>
        <v>#REF!</v>
      </c>
    </row>
    <row r="105" spans="23:25">
      <c r="W105" t="s">
        <v>235</v>
      </c>
      <c r="X105">
        <f>数据表!H14</f>
        <v>3</v>
      </c>
      <c r="Y105" t="e">
        <f>#REF!</f>
        <v>#REF!</v>
      </c>
    </row>
    <row r="106" spans="23:25">
      <c r="W106" t="s">
        <v>236</v>
      </c>
      <c r="X106">
        <f>数据表!H15</f>
        <v>10</v>
      </c>
      <c r="Y106" t="e">
        <f>#REF!</f>
        <v>#REF!</v>
      </c>
    </row>
    <row r="107" spans="23:25">
      <c r="W107" t="s">
        <v>237</v>
      </c>
      <c r="X107">
        <f>数据表!H16</f>
        <v>18</v>
      </c>
      <c r="Y107" t="e">
        <f>#REF!</f>
        <v>#REF!</v>
      </c>
    </row>
    <row r="108" spans="23:25">
      <c r="W108" t="s">
        <v>238</v>
      </c>
      <c r="X108">
        <f>数据表!H17</f>
        <v>21</v>
      </c>
      <c r="Y108" t="e">
        <f>#REF!</f>
        <v>#REF!</v>
      </c>
    </row>
    <row r="109" spans="23:25">
      <c r="W109" t="s">
        <v>240</v>
      </c>
      <c r="X109">
        <f>数据表!H18</f>
        <v>2</v>
      </c>
      <c r="Y109" t="e">
        <f>#REF!</f>
        <v>#REF!</v>
      </c>
    </row>
    <row r="110" spans="23:25">
      <c r="W110" t="s">
        <v>241</v>
      </c>
      <c r="X110">
        <f>数据表!H19</f>
        <v>9</v>
      </c>
      <c r="Y110" t="e">
        <f>#REF!</f>
        <v>#REF!</v>
      </c>
    </row>
    <row r="111" spans="23:25">
      <c r="W111" s="30" t="s">
        <v>242</v>
      </c>
      <c r="X111">
        <f>数据表!H20</f>
        <v>16</v>
      </c>
      <c r="Y111" t="e">
        <f>#REF!</f>
        <v>#REF!</v>
      </c>
    </row>
    <row r="112" spans="23:25">
      <c r="W112" t="s">
        <v>243</v>
      </c>
      <c r="X112">
        <f>数据表!H21</f>
        <v>8</v>
      </c>
      <c r="Y112" t="e">
        <f>#REF!</f>
        <v>#REF!</v>
      </c>
    </row>
    <row r="113" spans="23:25">
      <c r="W113" t="s">
        <v>245</v>
      </c>
      <c r="X113">
        <f>数据表!H22</f>
        <v>15</v>
      </c>
      <c r="Y113" t="e">
        <f>#REF!</f>
        <v>#REF!</v>
      </c>
    </row>
    <row r="114" spans="23:25">
      <c r="W114" t="s">
        <v>246</v>
      </c>
      <c r="X114">
        <f>数据表!H23</f>
        <v>12</v>
      </c>
      <c r="Y114" t="e">
        <f>#REF!</f>
        <v>#REF!</v>
      </c>
    </row>
    <row r="115" spans="23:25">
      <c r="W115" t="s">
        <v>247</v>
      </c>
      <c r="X115">
        <f>数据表!H24</f>
        <v>14</v>
      </c>
      <c r="Y115" t="e">
        <f>#REF!</f>
        <v>#REF!</v>
      </c>
    </row>
    <row r="116" spans="23:25">
      <c r="W116" t="s">
        <v>249</v>
      </c>
      <c r="X116">
        <f>数据表!H25</f>
        <v>23</v>
      </c>
      <c r="Y116" t="e">
        <f>#REF!</f>
        <v>#REF!</v>
      </c>
    </row>
    <row r="117" spans="23:25">
      <c r="W117" t="s">
        <v>250</v>
      </c>
      <c r="X117">
        <f>数据表!H26</f>
        <v>24</v>
      </c>
      <c r="Y117" t="e">
        <f>#REF!</f>
        <v>#REF!</v>
      </c>
    </row>
    <row r="118" spans="23:25">
      <c r="W118" t="s">
        <v>252</v>
      </c>
      <c r="X118">
        <f>数据表!H27</f>
        <v>26</v>
      </c>
      <c r="Y118" t="e">
        <f>#REF!</f>
        <v>#REF!</v>
      </c>
    </row>
    <row r="119" spans="23:25">
      <c r="W119" t="s">
        <v>254</v>
      </c>
      <c r="X119">
        <f>数据表!H28</f>
        <v>17</v>
      </c>
      <c r="Y119" t="e">
        <f>#REF!</f>
        <v>#REF!</v>
      </c>
    </row>
  </sheetData>
  <mergeCells count="3">
    <mergeCell ref="A1:B1"/>
    <mergeCell ref="M33:N33"/>
    <mergeCell ref="F35:G3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表格使用说明</vt:lpstr>
      <vt:lpstr>倾向-优先级表</vt:lpstr>
      <vt:lpstr>当前时间项目推荐</vt:lpstr>
      <vt:lpstr>毕业时间预测</vt:lpstr>
      <vt:lpstr>欧气计算表</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2022-05-24T03:35:35Z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2052-11.1.0.11691</vt:lpwstr>
  </property>
  <property fmtid="{D5CDD505-2E9C-101B-9397-08002B2CF9AE}" pid="4" name="KSOReadingLayout">
    <vt:bool>true</vt:bool>
  </property>
</Properties>
</file>