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firstSheet="1" activeTab="1"/>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<sst xmlns="http://schemas.openxmlformats.org/spreadsheetml/2006/main" count="766" uniqueCount="376">
  <si>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</si>
  <si>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</si>
  <si>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</si>
  <si>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</si>
  <si>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</si>
  <si>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</si>
  <si>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</si>
  <si>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</si>
  <si>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</si>
  <si>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</si>
  <si>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</si>
  <si>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</si>
  <si>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</si>
  <si>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</si>
  <si>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</si>
  <si>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</si>
  <si>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</si>
  <si>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</si>
  <si>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</si>
  <si>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</si>
  <si>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</si>
  <si>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</si>
  <si>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</si>
  <si>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</si>
  <si>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</si>
  <si>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</si>
  <si>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</si>
  <si>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</si>
  <si>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</si>
  <si>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</si>
  <si>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</si>
  <si>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</si>
  <si>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</si>
  <si>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</si>
  <si>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</si>
  <si>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</si>
  <si>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</si>
  <si>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</si>
  <si>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</si>
  <si>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</si>
  <si>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</si>
  <si>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</si>
  <si>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</si>
  <si>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</si>
  <si>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</si>
  <si>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</si>
  <si>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</si>
  <si>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</si>
  <si>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</si>
  <si>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</si>
  <si>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</si>
  <si>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</si>
  <si>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</si>
  <si>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</si>
  <si>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</si>
  <si>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</si>
  <si>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</si>
  <si>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</si>
  <si>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</si>
  <si>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</si>
  <si>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</si>
  <si>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</si>
  <si>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</si>
  <si>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</si>
  <si>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</si>
  <si>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</si>
  <si>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</si>
  <si>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</si>
  <si>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</si>
  <si>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</si>
  <si>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</si>
  <si>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</si>
  <si>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</si>
  <si>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</si>
  <si>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</si>
  <si>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</si>
  <si>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</si>
  <si>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</si>
  <si>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白天排行</t>
  </si>
  <si>
    <t>项目排名</t>
  </si>
  <si>
    <t>项目名称</t>
  </si>
  <si>
    <t>是否过滤</t>
  </si>
  <si>
    <t>夜晚排行</t>
  </si>
  <si>
    <t>日均投入时间</t>
  </si>
  <si>
    <t>每日彩飞机收入：</t>
  </si>
  <si>
    <t>4期科研剩余时间产量预计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</si>
  <si>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</si>
  <si>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</si>
  <si>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</si>
  <si>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</si>
  <si>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</si>
  <si>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</si>
  <si>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</si>
  <si>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</si>
  <si>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</si>
  <si>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</si>
  <si>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</si>
  <si>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</si>
  <si>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</si>
  <si>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</si>
  <si>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</si>
  <si>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</si>
  <si>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</si>
  <si>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</si>
  <si>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</si>
  <si>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</si>
  <si>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</si>
  <si>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</si>
  <si>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</si>
  <si>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</si>
  <si>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</si>
  <si>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</si>
  <si>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</si>
  <si>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</si>
  <si>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</si>
  <si>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</si>
  <si>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</si>
  <si>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</si>
  <si>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</si>
  <si>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</si>
  <si>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</si>
  <si>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</si>
  <si>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</si>
  <si>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</si>
  <si>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</si>
  <si>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</si>
  <si>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</si>
  <si>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</si>
  <si>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</si>
  <si>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</si>
  <si>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</si>
  <si>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</si>
  <si>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</si>
  <si>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</si>
  <si>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</si>
  <si>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</si>
  <si>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</si>
  <si>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</si>
  <si>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</si>
  <si>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</si>
  <si>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</si>
  <si>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</si>
  <si>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</si>
  <si>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</si>
  <si>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</si>
  <si>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</si>
  <si>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</si>
  <si>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</si>
  <si>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</si>
  <si>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</si>
  <si>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</si>
  <si>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</si>
  <si>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</si>
  <si>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</si>
  <si>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</si>
  <si>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</si>
  <si>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</si>
  <si>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</si>
  <si>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</si>
  <si>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</si>
  <si>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</si>
  <si>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</si>
  <si>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</si>
  <si>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</si>
  <si>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</si>
  <si>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</si>
  <si>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</si>
  <si>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</si>
  <si>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</si>
  <si>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</si>
  <si>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</si>
  <si>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</si>
  <si>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</si>
  <si>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</si>
  <si>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</si>
  <si>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</si>
  <si>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</si>
  <si>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</si>
  <si>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</si>
  <si>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</si>
  <si>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</si>
  <si>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</si>
  <si>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</si>
  <si>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</si>
  <si>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</si>
  <si>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</si>
  <si>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</si>
  <si>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</si>
  <si>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</si>
  <si>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</si>
  <si>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</si>
  <si>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</si>
  <si>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</si>
  <si>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</si>
  <si>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</si>
  <si>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</si>
  <si>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</si>
  <si>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</si>
  <si>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</si>
  <si>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</si>
  <si>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</si>
  <si>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</si>
  <si>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</si>
  <si>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</si>
  <si>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</si>
  <si>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</si>
  <si>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</si>
  <si>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</si>
  <si>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</si>
  <si>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</si>
  <si>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</si>
  <si>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</si>
  <si>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</si>
  <si>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</si>
  <si>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</si>
  <si>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</si>
  <si>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</si>
  <si>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</si>
  <si>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</si>
  <si>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</si>
  <si>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</si>
  <si>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</si>
  <si>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</si>
  <si>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</si>
  <si>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</si>
  <si>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</si>
  <si>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</si>
  <si>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</si>
  <si>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</si>
  <si>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</si>
  <si>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</si>
  <si>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</si>
  <si>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</si>
  <si>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</si>
  <si>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</si>
  <si>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</si>
  <si>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</si>
  <si>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</si>
  <si>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</si>
  <si>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</si>
  <si>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</si>
  <si>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</si>
  <si>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</si>
  <si>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</si>
  <si>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</si>
  <si>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</si>
  <si>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</si>
  <si>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</si>
  <si>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</si>
  <si>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</si>
  <si>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</si>
  <si>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</si>
  <si>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</si>
  <si>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</si>
  <si>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</si>
  <si>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</si>
  <si>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</si>
  <si>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</si>
  <si>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</si>
  <si>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</si>
  <si>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</si>
  <si>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</si>
  <si>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</si>
  <si>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</si>
  <si>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</si>
  <si>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</si>
  <si>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</si>
  <si>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</si>
  <si>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</si>
  <si>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</si>
  <si>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</si>
  <si>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</si>
  <si>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</si>
  <si>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</si>
  <si>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</si>
  <si>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</si>
  <si>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</si>
  <si>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</si>
  <si>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</si>
  <si>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</si>
  <si>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</si>
  <si>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</si>
  <si>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</si>
  <si>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</si>
  <si>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</si>
  <si>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</si>
  <si>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</si>
  <si>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</si>
  <si>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</si>
  <si>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和</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</si>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</sst>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 numFmtId="177" formatCode="0.000_ "/>
    <numFmt numFmtId="178" formatCode="h:mm;@"/>
    <numFmt numFmtId="179" formatCode="0_ "/>
    <numFmt numFmtId="180" formatCode="h:mm:ss;@"/>
    <numFmt numFmtId="181" formatCode="0.0000_ "/>
    <numFmt numFmtId="182" formatCode="0.00&quot;张&quot;&quot;天&quot;&quot;雷&quot;"/>
    <numFmt numFmtId="183" formatCode="0.0&quot;天&quot;"/>
    <numFmt numFmtId="184" formatCode="0.000%&quot;的&quot;&quot;玩&quot;&quot;家&quot;"/>
    <numFmt numFmtId="185" formatCode="yyyy&quot;年&quot;m&quot;月&quot;d&quot;日&quot;;@"/>
    <numFmt numFmtId="186" formatCode="0&quot;小&quot;&quot;时&quot;"/>
    <numFmt numFmtId="187" formatCode="0.00&quot;张&quot;"/>
    <numFmt numFmtId="188" formatCode="0.0&quot;次&quot;"/>
    <numFmt numFmtId="189" formatCode="0.0_ "/>
    <numFmt numFmtId="190" formatCode="0_ &quot;张&quot;"/>
  </numFmts>
  <fonts count="47">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49">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30" borderId="0" applyNumberFormat="0" applyBorder="0" applyAlignment="0" applyProtection="0">
      <alignment vertical="center"/>
    </xf>
    <xf numFmtId="0" fontId="26" fillId="23" borderId="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27" borderId="0" applyNumberFormat="0" applyBorder="0" applyAlignment="0" applyProtection="0">
      <alignment vertical="center"/>
    </xf>
    <xf numFmtId="0" fontId="31" fillId="32" borderId="0" applyNumberFormat="0" applyBorder="0" applyAlignment="0" applyProtection="0">
      <alignment vertical="center"/>
    </xf>
    <xf numFmtId="43" fontId="0" fillId="0" borderId="0" applyFont="0" applyFill="0" applyBorder="0" applyAlignment="0" applyProtection="0">
      <alignment vertical="center"/>
    </xf>
    <xf numFmtId="0" fontId="28" fillId="3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8" borderId="76" applyNumberFormat="0" applyFont="0" applyAlignment="0" applyProtection="0">
      <alignment vertical="center"/>
    </xf>
    <xf numFmtId="0" fontId="28" fillId="34"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79" applyNumberFormat="0" applyFill="0" applyAlignment="0" applyProtection="0">
      <alignment vertical="center"/>
    </xf>
    <xf numFmtId="0" fontId="39" fillId="0" borderId="79" applyNumberFormat="0" applyFill="0" applyAlignment="0" applyProtection="0">
      <alignment vertical="center"/>
    </xf>
    <xf numFmtId="0" fontId="28" fillId="10" borderId="0" applyNumberFormat="0" applyBorder="0" applyAlignment="0" applyProtection="0">
      <alignment vertical="center"/>
    </xf>
    <xf numFmtId="0" fontId="35" fillId="0" borderId="80" applyNumberFormat="0" applyFill="0" applyAlignment="0" applyProtection="0">
      <alignment vertical="center"/>
    </xf>
    <xf numFmtId="0" fontId="28" fillId="36" borderId="0" applyNumberFormat="0" applyBorder="0" applyAlignment="0" applyProtection="0">
      <alignment vertical="center"/>
    </xf>
    <xf numFmtId="0" fontId="34" fillId="31" borderId="78" applyNumberFormat="0" applyAlignment="0" applyProtection="0">
      <alignment vertical="center"/>
    </xf>
    <xf numFmtId="0" fontId="30" fillId="31" borderId="75" applyNumberFormat="0" applyAlignment="0" applyProtection="0">
      <alignment vertical="center"/>
    </xf>
    <xf numFmtId="0" fontId="40" fillId="40" borderId="81" applyNumberFormat="0" applyAlignment="0" applyProtection="0">
      <alignment vertical="center"/>
    </xf>
    <xf numFmtId="0" fontId="27" fillId="41" borderId="0" applyNumberFormat="0" applyBorder="0" applyAlignment="0" applyProtection="0">
      <alignment vertical="center"/>
    </xf>
    <xf numFmtId="0" fontId="28" fillId="43" borderId="0" applyNumberFormat="0" applyBorder="0" applyAlignment="0" applyProtection="0">
      <alignment vertical="center"/>
    </xf>
    <xf numFmtId="0" fontId="41" fillId="0" borderId="82" applyNumberFormat="0" applyFill="0" applyAlignment="0" applyProtection="0">
      <alignment vertical="center"/>
    </xf>
    <xf numFmtId="0" fontId="33" fillId="0" borderId="77" applyNumberFormat="0" applyFill="0" applyAlignment="0" applyProtection="0">
      <alignment vertical="center"/>
    </xf>
    <xf numFmtId="0" fontId="42" fillId="45" borderId="0" applyNumberFormat="0" applyBorder="0" applyAlignment="0" applyProtection="0">
      <alignment vertical="center"/>
    </xf>
    <xf numFmtId="0" fontId="25" fillId="22" borderId="0" applyNumberFormat="0" applyBorder="0" applyAlignment="0" applyProtection="0">
      <alignment vertical="center"/>
    </xf>
    <xf numFmtId="0" fontId="27" fillId="26" borderId="0" applyNumberFormat="0" applyBorder="0" applyAlignment="0" applyProtection="0">
      <alignment vertical="center"/>
    </xf>
    <xf numFmtId="0" fontId="28" fillId="46" borderId="0" applyNumberFormat="0" applyBorder="0" applyAlignment="0" applyProtection="0">
      <alignment vertical="center"/>
    </xf>
    <xf numFmtId="0" fontId="27" fillId="16" borderId="0" applyNumberFormat="0" applyBorder="0" applyAlignment="0" applyProtection="0">
      <alignment vertical="center"/>
    </xf>
    <xf numFmtId="0" fontId="27" fillId="44" borderId="0" applyNumberFormat="0" applyBorder="0" applyAlignment="0" applyProtection="0">
      <alignment vertical="center"/>
    </xf>
    <xf numFmtId="0" fontId="27" fillId="48" borderId="0" applyNumberFormat="0" applyBorder="0" applyAlignment="0" applyProtection="0">
      <alignment vertical="center"/>
    </xf>
    <xf numFmtId="0" fontId="27" fillId="25" borderId="0" applyNumberFormat="0" applyBorder="0" applyAlignment="0" applyProtection="0">
      <alignment vertical="center"/>
    </xf>
    <xf numFmtId="0" fontId="28" fillId="33" borderId="0" applyNumberFormat="0" applyBorder="0" applyAlignment="0" applyProtection="0">
      <alignment vertical="center"/>
    </xf>
    <xf numFmtId="0" fontId="28" fillId="47" borderId="0" applyNumberFormat="0" applyBorder="0" applyAlignment="0" applyProtection="0">
      <alignment vertical="center"/>
    </xf>
    <xf numFmtId="0" fontId="27" fillId="21" borderId="0" applyNumberFormat="0" applyBorder="0" applyAlignment="0" applyProtection="0">
      <alignment vertical="center"/>
    </xf>
    <xf numFmtId="0" fontId="27" fillId="35" borderId="0" applyNumberFormat="0" applyBorder="0" applyAlignment="0" applyProtection="0">
      <alignment vertical="center"/>
    </xf>
    <xf numFmtId="0" fontId="28" fillId="39" borderId="0" applyNumberFormat="0" applyBorder="0" applyAlignment="0" applyProtection="0">
      <alignment vertical="center"/>
    </xf>
    <xf numFmtId="0" fontId="27" fillId="24" borderId="0" applyNumberFormat="0" applyBorder="0" applyAlignment="0" applyProtection="0">
      <alignment vertical="center"/>
    </xf>
    <xf numFmtId="0" fontId="28" fillId="9" borderId="0" applyNumberFormat="0" applyBorder="0" applyAlignment="0" applyProtection="0">
      <alignment vertical="center"/>
    </xf>
    <xf numFmtId="0" fontId="28" fillId="29" borderId="0" applyNumberFormat="0" applyBorder="0" applyAlignment="0" applyProtection="0">
      <alignment vertical="center"/>
    </xf>
    <xf numFmtId="0" fontId="27" fillId="28" borderId="0" applyNumberFormat="0" applyBorder="0" applyAlignment="0" applyProtection="0">
      <alignment vertical="center"/>
    </xf>
    <xf numFmtId="0" fontId="28" fillId="42" borderId="0" applyNumberFormat="0" applyBorder="0" applyAlignment="0" applyProtection="0">
      <alignment vertical="center"/>
    </xf>
  </cellStyleXfs>
  <cellXfs count="70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6" fontId="1" fillId="0" borderId="16"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177"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6" fontId="1" fillId="0" borderId="18" xfId="0"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177"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6"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79" fontId="1" fillId="0" borderId="15" xfId="0" applyNumberFormat="1" applyFont="1" applyFill="1" applyBorder="1" applyAlignment="1">
      <alignment horizontal="left" vertical="center"/>
    </xf>
    <xf numFmtId="179"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7"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6" fontId="1" fillId="0" borderId="41" xfId="0" applyNumberFormat="1" applyFont="1" applyFill="1" applyBorder="1" applyAlignment="1">
      <alignment horizontal="left" vertical="center"/>
    </xf>
    <xf numFmtId="176" fontId="1" fillId="0" borderId="42" xfId="0" applyNumberFormat="1" applyFont="1" applyFill="1" applyBorder="1" applyAlignment="1">
      <alignment horizontal="left" vertical="center"/>
    </xf>
    <xf numFmtId="177" fontId="1" fillId="0" borderId="42" xfId="0" applyNumberFormat="1" applyFont="1" applyFill="1" applyBorder="1" applyAlignment="1">
      <alignment horizontal="left" vertical="center"/>
    </xf>
    <xf numFmtId="176" fontId="1" fillId="0" borderId="30"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177" fontId="1" fillId="0" borderId="31" xfId="0" applyNumberFormat="1" applyFont="1" applyFill="1" applyBorder="1" applyAlignment="1">
      <alignment horizontal="left" vertical="center"/>
    </xf>
    <xf numFmtId="0" fontId="0" fillId="0" borderId="31" xfId="0" applyBorder="1">
      <alignment vertical="center"/>
    </xf>
    <xf numFmtId="176" fontId="0" fillId="0" borderId="42" xfId="0" applyNumberFormat="1" applyFill="1" applyBorder="1">
      <alignment vertical="center"/>
    </xf>
    <xf numFmtId="0" fontId="0" fillId="0" borderId="44" xfId="0" applyFill="1" applyBorder="1">
      <alignment vertical="center"/>
    </xf>
    <xf numFmtId="179" fontId="1" fillId="0" borderId="12" xfId="0" applyNumberFormat="1" applyFont="1" applyFill="1" applyBorder="1" applyAlignment="1">
      <alignment horizontal="left" vertical="center"/>
    </xf>
    <xf numFmtId="179" fontId="1" fillId="0" borderId="42" xfId="0" applyNumberFormat="1" applyFont="1" applyFill="1" applyBorder="1" applyAlignment="1">
      <alignment horizontal="left" vertical="center"/>
    </xf>
    <xf numFmtId="0" fontId="0" fillId="0" borderId="45" xfId="0" applyFill="1" applyBorder="1">
      <alignment vertical="center"/>
    </xf>
    <xf numFmtId="179"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80"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1" fontId="1" fillId="11" borderId="39" xfId="0" applyNumberFormat="1" applyFont="1" applyFill="1" applyBorder="1" applyAlignment="1">
      <alignment horizontal="left" vertical="center"/>
    </xf>
    <xf numFmtId="181" fontId="1" fillId="11" borderId="5" xfId="0" applyNumberFormat="1" applyFont="1" applyFill="1" applyBorder="1" applyAlignment="1">
      <alignment horizontal="left" vertical="center"/>
    </xf>
    <xf numFmtId="179" fontId="1" fillId="12" borderId="41" xfId="0" applyNumberFormat="1" applyFont="1" applyFill="1" applyBorder="1" applyAlignment="1">
      <alignment horizontal="left" vertical="center"/>
    </xf>
    <xf numFmtId="179" fontId="1" fillId="11" borderId="43" xfId="0" applyNumberFormat="1" applyFont="1" applyFill="1" applyBorder="1" applyAlignment="1">
      <alignment horizontal="left" vertical="center"/>
    </xf>
    <xf numFmtId="176" fontId="1" fillId="13" borderId="55" xfId="0" applyNumberFormat="1" applyFont="1" applyFill="1" applyBorder="1" applyAlignment="1">
      <alignment horizontal="left" vertical="center"/>
    </xf>
    <xf numFmtId="176"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1" fontId="1" fillId="11" borderId="57" xfId="0" applyNumberFormat="1" applyFont="1" applyFill="1" applyBorder="1" applyAlignment="1">
      <alignment horizontal="left" vertical="center"/>
    </xf>
    <xf numFmtId="181" fontId="1" fillId="11" borderId="6" xfId="0" applyNumberFormat="1" applyFont="1" applyFill="1" applyBorder="1" applyAlignment="1">
      <alignment horizontal="left" vertical="center"/>
    </xf>
    <xf numFmtId="179" fontId="1" fillId="12" borderId="16" xfId="0" applyNumberFormat="1" applyFont="1" applyFill="1" applyBorder="1" applyAlignment="1">
      <alignment horizontal="left" vertical="center"/>
    </xf>
    <xf numFmtId="179" fontId="1" fillId="11" borderId="28" xfId="0" applyNumberFormat="1" applyFont="1" applyFill="1" applyBorder="1" applyAlignment="1">
      <alignment horizontal="left" vertical="center"/>
    </xf>
    <xf numFmtId="176" fontId="1" fillId="13" borderId="30" xfId="0" applyNumberFormat="1" applyFont="1" applyFill="1" applyBorder="1" applyAlignment="1">
      <alignment horizontal="left" vertical="center"/>
    </xf>
    <xf numFmtId="176"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6" fontId="1" fillId="13" borderId="16" xfId="0" applyNumberFormat="1" applyFont="1" applyFill="1" applyBorder="1" applyAlignment="1">
      <alignment horizontal="left" vertical="center"/>
    </xf>
    <xf numFmtId="176"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1" fontId="1" fillId="11" borderId="59" xfId="0" applyNumberFormat="1" applyFont="1" applyFill="1" applyBorder="1" applyAlignment="1">
      <alignment horizontal="left" vertical="center"/>
    </xf>
    <xf numFmtId="181" fontId="1" fillId="11" borderId="9" xfId="0" applyNumberFormat="1" applyFont="1" applyFill="1" applyBorder="1" applyAlignment="1">
      <alignment horizontal="left" vertical="center"/>
    </xf>
    <xf numFmtId="179" fontId="1" fillId="12" borderId="18" xfId="0" applyNumberFormat="1" applyFont="1" applyFill="1" applyBorder="1" applyAlignment="1">
      <alignment horizontal="left" vertical="center"/>
    </xf>
    <xf numFmtId="179" fontId="1" fillId="11" borderId="29" xfId="0" applyNumberFormat="1" applyFont="1" applyFill="1" applyBorder="1" applyAlignment="1">
      <alignment horizontal="left" vertical="center"/>
    </xf>
    <xf numFmtId="181" fontId="1" fillId="11" borderId="60" xfId="0" applyNumberFormat="1" applyFont="1" applyFill="1" applyBorder="1" applyAlignment="1">
      <alignment horizontal="left" vertical="center"/>
    </xf>
    <xf numFmtId="179" fontId="1" fillId="12" borderId="11" xfId="0" applyNumberFormat="1" applyFont="1" applyFill="1" applyBorder="1" applyAlignment="1">
      <alignment horizontal="left" vertical="center"/>
    </xf>
    <xf numFmtId="179" fontId="1" fillId="11" borderId="27" xfId="0" applyNumberFormat="1" applyFont="1" applyFill="1" applyBorder="1" applyAlignment="1">
      <alignment horizontal="left" vertical="center"/>
    </xf>
    <xf numFmtId="176" fontId="1" fillId="13" borderId="61" xfId="0" applyNumberFormat="1" applyFont="1" applyFill="1" applyBorder="1" applyAlignment="1">
      <alignment horizontal="left" vertical="center"/>
    </xf>
    <xf numFmtId="176" fontId="1" fillId="13" borderId="37" xfId="0" applyNumberFormat="1" applyFont="1" applyFill="1" applyBorder="1" applyAlignment="1">
      <alignment horizontal="left" vertical="center"/>
    </xf>
    <xf numFmtId="176" fontId="1" fillId="13" borderId="62" xfId="0" applyNumberFormat="1" applyFont="1" applyFill="1" applyBorder="1" applyAlignment="1">
      <alignment horizontal="left" vertical="center"/>
    </xf>
    <xf numFmtId="176" fontId="1" fillId="13" borderId="28" xfId="0" applyNumberFormat="1" applyFont="1" applyFill="1" applyBorder="1" applyAlignment="1">
      <alignment horizontal="left" vertical="center"/>
    </xf>
    <xf numFmtId="176" fontId="1" fillId="13" borderId="56" xfId="0" applyNumberFormat="1" applyFont="1" applyFill="1" applyBorder="1" applyAlignment="1">
      <alignment horizontal="left" vertical="center"/>
    </xf>
    <xf numFmtId="181" fontId="1" fillId="11" borderId="58" xfId="0" applyNumberFormat="1" applyFont="1" applyFill="1" applyBorder="1" applyAlignment="1">
      <alignment horizontal="left" vertical="center"/>
    </xf>
    <xf numFmtId="176" fontId="1" fillId="13" borderId="18" xfId="0" applyNumberFormat="1" applyFont="1" applyFill="1" applyBorder="1" applyAlignment="1">
      <alignment horizontal="left" vertical="center"/>
    </xf>
    <xf numFmtId="176" fontId="1" fillId="13" borderId="59" xfId="0" applyNumberFormat="1" applyFont="1" applyFill="1" applyBorder="1" applyAlignment="1">
      <alignment horizontal="left" vertical="center"/>
    </xf>
    <xf numFmtId="176" fontId="1" fillId="13" borderId="29" xfId="0" applyNumberFormat="1" applyFont="1" applyFill="1" applyBorder="1" applyAlignment="1">
      <alignment horizontal="left" vertical="center"/>
    </xf>
    <xf numFmtId="176" fontId="1" fillId="13" borderId="41" xfId="0" applyNumberFormat="1" applyFont="1" applyFill="1" applyBorder="1" applyAlignment="1">
      <alignment horizontal="left" vertical="center"/>
    </xf>
    <xf numFmtId="176" fontId="1" fillId="13" borderId="60" xfId="0" applyNumberFormat="1" applyFont="1" applyFill="1" applyBorder="1" applyAlignment="1">
      <alignment horizontal="left" vertical="center"/>
    </xf>
    <xf numFmtId="176" fontId="1" fillId="13" borderId="43" xfId="0" applyNumberFormat="1" applyFont="1" applyFill="1" applyBorder="1" applyAlignment="1">
      <alignment horizontal="left" vertical="center"/>
    </xf>
    <xf numFmtId="176" fontId="1" fillId="13" borderId="34" xfId="0" applyNumberFormat="1" applyFont="1" applyFill="1" applyBorder="1" applyAlignment="1">
      <alignment horizontal="left" vertical="center"/>
    </xf>
    <xf numFmtId="176" fontId="1" fillId="13" borderId="52" xfId="0" applyNumberFormat="1" applyFont="1" applyFill="1" applyBorder="1" applyAlignment="1">
      <alignment horizontal="left" vertical="center"/>
    </xf>
    <xf numFmtId="176" fontId="1" fillId="13" borderId="25" xfId="0" applyNumberFormat="1" applyFont="1" applyFill="1" applyBorder="1" applyAlignment="1">
      <alignment horizontal="left" vertical="center"/>
    </xf>
    <xf numFmtId="176" fontId="1" fillId="13" borderId="63" xfId="0" applyNumberFormat="1" applyFont="1" applyFill="1" applyBorder="1" applyAlignment="1">
      <alignment horizontal="left" vertical="center"/>
    </xf>
    <xf numFmtId="176" fontId="1" fillId="13" borderId="11" xfId="0" applyNumberFormat="1" applyFont="1" applyFill="1" applyBorder="1" applyAlignment="1">
      <alignment horizontal="left" vertical="center"/>
    </xf>
    <xf numFmtId="176" fontId="1" fillId="13" borderId="39" xfId="0" applyNumberFormat="1" applyFont="1" applyFill="1" applyBorder="1" applyAlignment="1">
      <alignment horizontal="left" vertical="center"/>
    </xf>
    <xf numFmtId="176" fontId="1" fillId="13" borderId="27" xfId="0" applyNumberFormat="1" applyFont="1" applyFill="1" applyBorder="1" applyAlignment="1">
      <alignment horizontal="left" vertical="center"/>
    </xf>
    <xf numFmtId="181" fontId="1" fillId="11" borderId="50" xfId="0" applyNumberFormat="1" applyFont="1" applyFill="1" applyBorder="1" applyAlignment="1">
      <alignment horizontal="left" vertical="center"/>
    </xf>
    <xf numFmtId="181" fontId="1" fillId="11" borderId="1" xfId="0" applyNumberFormat="1" applyFont="1" applyFill="1" applyBorder="1" applyAlignment="1">
      <alignment horizontal="left" vertical="center"/>
    </xf>
    <xf numFmtId="181" fontId="1" fillId="11" borderId="3" xfId="0" applyNumberFormat="1" applyFont="1" applyFill="1" applyBorder="1" applyAlignment="1">
      <alignment horizontal="left" vertical="center"/>
    </xf>
    <xf numFmtId="179" fontId="1" fillId="12" borderId="32" xfId="0" applyNumberFormat="1" applyFont="1" applyFill="1" applyBorder="1" applyAlignment="1">
      <alignment horizontal="left" vertical="center"/>
    </xf>
    <xf numFmtId="179"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77" fontId="1" fillId="13" borderId="43" xfId="0" applyNumberFormat="1" applyFont="1" applyFill="1" applyBorder="1" applyAlignment="1">
      <alignment horizontal="left" vertical="center"/>
    </xf>
    <xf numFmtId="179" fontId="1" fillId="12" borderId="39" xfId="0" applyNumberFormat="1" applyFont="1" applyFill="1" applyBorder="1" applyAlignment="1">
      <alignment horizontal="left" vertical="center"/>
    </xf>
    <xf numFmtId="176" fontId="1" fillId="12" borderId="27" xfId="0" applyNumberFormat="1" applyFont="1" applyFill="1" applyBorder="1" applyAlignment="1">
      <alignment horizontal="left" vertical="center"/>
    </xf>
    <xf numFmtId="176" fontId="1" fillId="12" borderId="11" xfId="0" applyNumberFormat="1" applyFont="1" applyFill="1" applyBorder="1" applyAlignment="1">
      <alignment horizontal="left" vertical="center"/>
    </xf>
    <xf numFmtId="0" fontId="0" fillId="12" borderId="13" xfId="0" applyFill="1" applyBorder="1">
      <alignment vertical="center"/>
    </xf>
    <xf numFmtId="177" fontId="1" fillId="13" borderId="28" xfId="0" applyNumberFormat="1" applyFont="1" applyFill="1" applyBorder="1" applyAlignment="1">
      <alignment horizontal="left" vertical="center"/>
    </xf>
    <xf numFmtId="179" fontId="1" fillId="12" borderId="60" xfId="0" applyNumberFormat="1" applyFont="1" applyFill="1" applyBorder="1" applyAlignment="1">
      <alignment horizontal="left" vertical="center"/>
    </xf>
    <xf numFmtId="176" fontId="1" fillId="12" borderId="28" xfId="0" applyNumberFormat="1" applyFont="1" applyFill="1" applyBorder="1" applyAlignment="1">
      <alignment horizontal="left" vertical="center"/>
    </xf>
    <xf numFmtId="176" fontId="1" fillId="12" borderId="16" xfId="0" applyNumberFormat="1" applyFont="1" applyFill="1" applyBorder="1" applyAlignment="1">
      <alignment horizontal="left" vertical="center"/>
    </xf>
    <xf numFmtId="0" fontId="0" fillId="12" borderId="17" xfId="0" applyFill="1" applyBorder="1">
      <alignment vertical="center"/>
    </xf>
    <xf numFmtId="177" fontId="1" fillId="13" borderId="29" xfId="0" applyNumberFormat="1" applyFont="1" applyFill="1" applyBorder="1" applyAlignment="1">
      <alignment horizontal="left" vertical="center"/>
    </xf>
    <xf numFmtId="179" fontId="1" fillId="12" borderId="25" xfId="0" applyNumberFormat="1" applyFont="1" applyFill="1" applyBorder="1" applyAlignment="1">
      <alignment horizontal="left" vertical="center"/>
    </xf>
    <xf numFmtId="176" fontId="1" fillId="12" borderId="29" xfId="0" applyNumberFormat="1" applyFont="1" applyFill="1" applyBorder="1" applyAlignment="1">
      <alignment horizontal="left" vertical="center"/>
    </xf>
    <xf numFmtId="176" fontId="1" fillId="12" borderId="30" xfId="0" applyNumberFormat="1" applyFont="1" applyFill="1" applyBorder="1" applyAlignment="1">
      <alignment horizontal="left" vertical="center"/>
    </xf>
    <xf numFmtId="0" fontId="0" fillId="12" borderId="44" xfId="0" applyFill="1" applyBorder="1">
      <alignment vertical="center"/>
    </xf>
    <xf numFmtId="177" fontId="1" fillId="13" borderId="27" xfId="0" applyNumberFormat="1" applyFont="1" applyFill="1" applyBorder="1" applyAlignment="1">
      <alignment horizontal="left" vertical="center"/>
    </xf>
    <xf numFmtId="176" fontId="1" fillId="12" borderId="18" xfId="0" applyNumberFormat="1" applyFont="1" applyFill="1" applyBorder="1" applyAlignment="1">
      <alignment horizontal="left" vertical="center"/>
    </xf>
    <xf numFmtId="0" fontId="0" fillId="12" borderId="20" xfId="0" applyFill="1" applyBorder="1">
      <alignment vertical="center"/>
    </xf>
    <xf numFmtId="176" fontId="1" fillId="12" borderId="41" xfId="0" applyNumberFormat="1" applyFont="1" applyFill="1" applyBorder="1" applyAlignment="1">
      <alignment horizontal="left" vertical="center"/>
    </xf>
    <xf numFmtId="0" fontId="0" fillId="12" borderId="45" xfId="0" applyFill="1" applyBorder="1">
      <alignment vertical="center"/>
    </xf>
    <xf numFmtId="177" fontId="1" fillId="13" borderId="34" xfId="0" applyNumberFormat="1" applyFont="1" applyFill="1" applyBorder="1" applyAlignment="1">
      <alignment horizontal="left" vertical="center"/>
    </xf>
    <xf numFmtId="177" fontId="1" fillId="13" borderId="51" xfId="0" applyNumberFormat="1" applyFont="1" applyFill="1" applyBorder="1" applyAlignment="1">
      <alignment horizontal="left" vertical="center"/>
    </xf>
    <xf numFmtId="179" fontId="1" fillId="12" borderId="51" xfId="0" applyNumberFormat="1" applyFont="1" applyFill="1" applyBorder="1" applyAlignment="1">
      <alignment horizontal="left" vertical="center"/>
    </xf>
    <xf numFmtId="176" fontId="1" fillId="12" borderId="35" xfId="0" applyNumberFormat="1" applyFont="1" applyFill="1" applyBorder="1" applyAlignment="1">
      <alignment horizontal="left" vertical="center"/>
    </xf>
    <xf numFmtId="176"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83" fontId="0" fillId="0" borderId="0" xfId="0" applyNumberFormat="1" applyAlignment="1">
      <alignment horizontal="center" vertical="center"/>
    </xf>
    <xf numFmtId="0" fontId="0" fillId="14" borderId="0" xfId="0" applyFill="1">
      <alignment vertical="center"/>
    </xf>
    <xf numFmtId="0" fontId="0" fillId="14" borderId="36" xfId="0" applyFill="1" applyBorder="1" applyAlignment="1">
      <alignment horizontal="center" vertical="center"/>
    </xf>
    <xf numFmtId="0" fontId="0" fillId="14" borderId="38"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6" xfId="0" applyFill="1" applyBorder="1" applyAlignment="1">
      <alignment horizontal="left" vertical="center" indent="1"/>
    </xf>
    <xf numFmtId="0" fontId="0" fillId="14" borderId="66"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2" fontId="0" fillId="14" borderId="62" xfId="0" applyNumberFormat="1" applyFill="1" applyBorder="1" applyAlignment="1">
      <alignment horizontal="center" vertical="center"/>
    </xf>
    <xf numFmtId="0" fontId="0" fillId="14" borderId="47" xfId="0" applyFill="1" applyBorder="1" applyAlignment="1">
      <alignment horizontal="left" vertical="center" indent="1"/>
    </xf>
    <xf numFmtId="0" fontId="0" fillId="14" borderId="6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9" xfId="0" applyFill="1" applyBorder="1" applyAlignment="1">
      <alignment horizontal="center" vertical="center"/>
    </xf>
    <xf numFmtId="184" fontId="0" fillId="14" borderId="35" xfId="0" applyNumberFormat="1" applyFill="1" applyBorder="1" applyAlignment="1">
      <alignment horizontal="center" vertical="center"/>
    </xf>
    <xf numFmtId="0" fontId="0" fillId="14" borderId="51" xfId="0" applyFill="1" applyBorder="1" applyAlignment="1">
      <alignment horizontal="center" vertical="center"/>
    </xf>
    <xf numFmtId="182" fontId="0" fillId="14" borderId="35" xfId="0" applyNumberFormat="1" applyFill="1" applyBorder="1" applyAlignment="1">
      <alignment horizontal="center" vertical="center"/>
    </xf>
    <xf numFmtId="0" fontId="0" fillId="14" borderId="52" xfId="0" applyFill="1" applyBorder="1" applyAlignment="1">
      <alignment horizontal="center" vertical="center"/>
    </xf>
    <xf numFmtId="0" fontId="0" fillId="14" borderId="70" xfId="0" applyFill="1" applyBorder="1" applyAlignment="1">
      <alignment horizontal="center" vertical="center"/>
    </xf>
    <xf numFmtId="0" fontId="0" fillId="14" borderId="48" xfId="0" applyFill="1" applyBorder="1" applyAlignment="1">
      <alignment horizontal="left" vertical="center" indent="1"/>
    </xf>
    <xf numFmtId="0" fontId="0" fillId="14" borderId="71"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33" xfId="0" applyFill="1" applyBorder="1" applyAlignment="1">
      <alignment horizontal="center" vertical="center"/>
    </xf>
    <xf numFmtId="176" fontId="0" fillId="14" borderId="72" xfId="0" applyNumberFormat="1" applyFill="1" applyBorder="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2" fontId="0" fillId="14" borderId="37" xfId="0" applyNumberFormat="1" applyFill="1" applyBorder="1" applyAlignment="1">
      <alignment horizontal="center" vertical="center"/>
    </xf>
    <xf numFmtId="184" fontId="0" fillId="14" borderId="2" xfId="0" applyNumberFormat="1" applyFill="1" applyBorder="1" applyAlignment="1">
      <alignment horizontal="center" vertical="center"/>
    </xf>
    <xf numFmtId="0" fontId="0" fillId="14" borderId="73" xfId="0" applyFill="1" applyBorder="1" applyAlignment="1">
      <alignment horizontal="center" vertical="center"/>
    </xf>
    <xf numFmtId="0" fontId="0" fillId="14" borderId="74" xfId="0" applyFill="1" applyBorder="1" applyAlignment="1">
      <alignment horizontal="center" vertical="center"/>
    </xf>
    <xf numFmtId="182" fontId="0" fillId="14" borderId="2" xfId="0" applyNumberFormat="1" applyFill="1" applyBorder="1" applyAlignment="1">
      <alignment horizontal="center" vertical="center"/>
    </xf>
    <xf numFmtId="0" fontId="0" fillId="14" borderId="24" xfId="0" applyFill="1" applyBorder="1" applyAlignment="1">
      <alignment horizontal="center" vertical="center"/>
    </xf>
    <xf numFmtId="0" fontId="0" fillId="14" borderId="26" xfId="0" applyFill="1" applyBorder="1" applyAlignment="1">
      <alignment horizontal="center" vertical="center"/>
    </xf>
    <xf numFmtId="0" fontId="0" fillId="14" borderId="53" xfId="0" applyFill="1" applyBorder="1" applyAlignment="1">
      <alignment horizontal="center" vertical="center"/>
    </xf>
    <xf numFmtId="0" fontId="0" fillId="0" borderId="2" xfId="0" applyBorder="1" applyAlignment="1">
      <alignment horizontal="center" vertical="center"/>
    </xf>
    <xf numFmtId="179" fontId="0" fillId="0" borderId="0" xfId="0" applyNumberFormat="1"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0" fillId="13" borderId="0" xfId="0" applyFill="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85"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85"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85"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85" fontId="3" fillId="13" borderId="2" xfId="0" applyNumberFormat="1" applyFont="1" applyFill="1" applyBorder="1" applyAlignment="1">
      <alignment horizontal="center"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4" xfId="0" applyFill="1" applyBorder="1" applyAlignment="1">
      <alignment horizontal="center" vertical="center"/>
    </xf>
    <xf numFmtId="0" fontId="0" fillId="13" borderId="5"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lignment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78" fontId="1" fillId="13" borderId="3" xfId="0" applyNumberFormat="1" applyFont="1" applyFill="1" applyBorder="1" applyAlignment="1">
      <alignment horizontal="center" vertical="center"/>
    </xf>
    <xf numFmtId="0" fontId="0" fillId="13" borderId="8" xfId="0" applyFill="1" applyBorder="1">
      <alignment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5" borderId="1" xfId="10" applyFont="1" applyFill="1" applyBorder="1" applyAlignment="1">
      <alignment horizontal="centerContinuous" vertical="center"/>
    </xf>
    <xf numFmtId="0" fontId="9" fillId="15" borderId="2" xfId="10" applyFont="1" applyFill="1" applyBorder="1" applyAlignment="1">
      <alignment horizontal="centerContinuous" vertical="center"/>
    </xf>
    <xf numFmtId="0" fontId="9" fillId="15" borderId="24" xfId="10" applyFont="1" applyFill="1" applyBorder="1" applyAlignment="1">
      <alignment horizontal="centerContinuous" vertical="center"/>
    </xf>
    <xf numFmtId="0" fontId="9" fillId="15" borderId="26" xfId="10" applyFont="1" applyFill="1" applyBorder="1" applyAlignment="1">
      <alignment horizontal="centerContinuous" vertical="center"/>
    </xf>
    <xf numFmtId="0" fontId="1" fillId="0" borderId="0" xfId="0" applyFont="1" applyFill="1" applyBorder="1" applyAlignment="1">
      <alignment vertical="center"/>
    </xf>
    <xf numFmtId="0" fontId="10" fillId="16" borderId="36" xfId="0" applyFont="1" applyFill="1" applyBorder="1" applyAlignment="1">
      <alignment horizontal="centerContinuous" vertical="center"/>
    </xf>
    <xf numFmtId="0" fontId="1" fillId="16" borderId="37" xfId="0" applyFont="1" applyFill="1" applyBorder="1" applyAlignment="1">
      <alignment horizontal="centerContinuous" vertical="center"/>
    </xf>
    <xf numFmtId="0" fontId="1" fillId="16" borderId="24" xfId="0" applyFont="1" applyFill="1" applyBorder="1" applyAlignment="1">
      <alignment horizontal="centerContinuous" vertical="center"/>
    </xf>
    <xf numFmtId="0" fontId="1" fillId="16"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6" fontId="1" fillId="17"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6" fontId="1" fillId="2" borderId="3" xfId="0" applyNumberFormat="1" applyFont="1" applyFill="1" applyBorder="1" applyAlignment="1">
      <alignment vertical="center"/>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0" fillId="15" borderId="1" xfId="0" applyFill="1" applyBorder="1" applyAlignment="1">
      <alignment horizontal="centerContinuous" vertical="center"/>
    </xf>
    <xf numFmtId="0" fontId="0" fillId="15" borderId="2" xfId="0" applyFill="1" applyBorder="1" applyAlignment="1">
      <alignment horizontal="centerContinuous" vertical="center"/>
    </xf>
    <xf numFmtId="176" fontId="1" fillId="15" borderId="3" xfId="0" applyNumberFormat="1" applyFont="1" applyFill="1" applyBorder="1" applyAlignment="1">
      <alignment vertical="center"/>
    </xf>
    <xf numFmtId="0" fontId="1" fillId="15" borderId="1" xfId="0"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79"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51" xfId="0" applyFont="1" applyFill="1" applyBorder="1" applyAlignment="1">
      <alignment horizontal="center" vertical="center"/>
    </xf>
    <xf numFmtId="0" fontId="1" fillId="18" borderId="1" xfId="0" applyFont="1" applyFill="1" applyBorder="1" applyAlignment="1">
      <alignment horizontal="left" vertical="center"/>
    </xf>
    <xf numFmtId="0" fontId="1" fillId="18"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1" fillId="0" borderId="38" xfId="0" applyFont="1" applyFill="1" applyBorder="1" applyAlignment="1">
      <alignment horizontal="left" vertical="center"/>
    </xf>
    <xf numFmtId="0" fontId="13" fillId="19" borderId="4" xfId="0" applyFont="1" applyFill="1" applyBorder="1" applyAlignment="1">
      <alignment vertical="center" wrapText="1"/>
    </xf>
    <xf numFmtId="0" fontId="0" fillId="13" borderId="32" xfId="0" applyFill="1" applyBorder="1">
      <alignment vertical="center"/>
    </xf>
    <xf numFmtId="0" fontId="0" fillId="13" borderId="33" xfId="0" applyFill="1" applyBorder="1" applyAlignment="1">
      <alignment horizontal="center" vertical="center"/>
    </xf>
    <xf numFmtId="0" fontId="0" fillId="13" borderId="72" xfId="0" applyFill="1" applyBorder="1">
      <alignment vertical="center"/>
    </xf>
    <xf numFmtId="0" fontId="13" fillId="19"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3" fillId="19"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 fillId="13" borderId="11" xfId="0" applyFont="1" applyFill="1" applyBorder="1" applyAlignment="1">
      <alignment vertical="center"/>
    </xf>
    <xf numFmtId="0" fontId="1" fillId="13" borderId="12" xfId="0" applyFont="1" applyFill="1" applyBorder="1" applyAlignment="1">
      <alignment vertical="center"/>
    </xf>
    <xf numFmtId="186" fontId="1" fillId="13" borderId="12" xfId="0" applyNumberFormat="1" applyFont="1" applyFill="1" applyBorder="1" applyAlignment="1">
      <alignment horizontal="left" vertical="center"/>
    </xf>
    <xf numFmtId="186"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187" fontId="1" fillId="13" borderId="27" xfId="0" applyNumberFormat="1" applyFont="1" applyFill="1" applyBorder="1" applyAlignment="1">
      <alignment horizontal="left" vertical="center"/>
    </xf>
    <xf numFmtId="0" fontId="1" fillId="13" borderId="16" xfId="0" applyFont="1" applyFill="1" applyBorder="1" applyAlignment="1">
      <alignment vertical="center"/>
    </xf>
    <xf numFmtId="0" fontId="1" fillId="13" borderId="15" xfId="0" applyFont="1" applyFill="1" applyBorder="1" applyAlignment="1">
      <alignment vertical="center"/>
    </xf>
    <xf numFmtId="188" fontId="1" fillId="13" borderId="15" xfId="0" applyNumberFormat="1" applyFont="1" applyFill="1" applyBorder="1" applyAlignment="1">
      <alignment horizontal="left" vertical="center"/>
    </xf>
    <xf numFmtId="188"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87" fontId="1" fillId="13" borderId="28" xfId="0" applyNumberFormat="1" applyFont="1" applyFill="1" applyBorder="1" applyAlignment="1">
      <alignment horizontal="left" vertical="center"/>
    </xf>
    <xf numFmtId="176" fontId="1" fillId="13" borderId="15" xfId="0" applyNumberFormat="1" applyFont="1" applyFill="1" applyBorder="1" applyAlignment="1">
      <alignment horizontal="left" vertical="center"/>
    </xf>
    <xf numFmtId="187" fontId="1" fillId="13" borderId="15" xfId="0" applyNumberFormat="1" applyFont="1" applyFill="1" applyBorder="1" applyAlignment="1">
      <alignment horizontal="left" vertical="center"/>
    </xf>
    <xf numFmtId="0" fontId="1" fillId="13" borderId="18" xfId="0" applyFont="1" applyFill="1" applyBorder="1" applyAlignment="1">
      <alignment vertical="center"/>
    </xf>
    <xf numFmtId="0" fontId="1" fillId="13" borderId="19" xfId="0" applyFont="1" applyFill="1" applyBorder="1" applyAlignment="1">
      <alignment vertical="center"/>
    </xf>
    <xf numFmtId="179" fontId="1" fillId="13" borderId="19" xfId="0" applyNumberFormat="1" applyFont="1" applyFill="1" applyBorder="1" applyAlignment="1">
      <alignment horizontal="left" vertical="center"/>
    </xf>
    <xf numFmtId="179"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189" fontId="0" fillId="0" borderId="29" xfId="0" applyNumberFormat="1" applyBorder="1" applyAlignment="1">
      <alignment horizontal="left" vertical="center"/>
    </xf>
    <xf numFmtId="0" fontId="14" fillId="13" borderId="22" xfId="0" applyFont="1" applyFill="1" applyBorder="1" applyAlignment="1">
      <alignment horizontal="centerContinuous" vertical="center"/>
    </xf>
    <xf numFmtId="0" fontId="14" fillId="13" borderId="0" xfId="0" applyFont="1" applyFill="1" applyAlignment="1">
      <alignment horizontal="centerContinuous"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38" xfId="0" applyFill="1" applyBorder="1" applyAlignment="1">
      <alignment horizontal="center" vertical="center"/>
    </xf>
    <xf numFmtId="0" fontId="0" fillId="13" borderId="22" xfId="0" applyFill="1" applyBorder="1">
      <alignment vertical="center"/>
    </xf>
    <xf numFmtId="0" fontId="0" fillId="13" borderId="23" xfId="0" applyFill="1" applyBorder="1">
      <alignment vertical="center"/>
    </xf>
    <xf numFmtId="0" fontId="0" fillId="13" borderId="0" xfId="0" applyFill="1" applyBorder="1">
      <alignment vertical="center"/>
    </xf>
    <xf numFmtId="0" fontId="1" fillId="13" borderId="23" xfId="0" applyFont="1" applyFill="1" applyBorder="1" applyAlignment="1">
      <alignment vertical="center"/>
    </xf>
    <xf numFmtId="0" fontId="1" fillId="16" borderId="38" xfId="0" applyFont="1" applyFill="1" applyBorder="1" applyAlignment="1">
      <alignment horizontal="centerContinuous" vertical="center"/>
    </xf>
    <xf numFmtId="0" fontId="15" fillId="13" borderId="0" xfId="0" applyFont="1" applyFill="1" applyBorder="1" applyAlignment="1">
      <alignment horizontal="centerContinuous" vertical="center"/>
    </xf>
    <xf numFmtId="0" fontId="1" fillId="16" borderId="26" xfId="0" applyFont="1" applyFill="1" applyBorder="1" applyAlignment="1">
      <alignment horizontal="centerContinuous" vertical="center"/>
    </xf>
    <xf numFmtId="0" fontId="15" fillId="13" borderId="0" xfId="0" applyFont="1" applyFill="1" applyAlignment="1">
      <alignment horizontal="centerContinuous" vertical="center"/>
    </xf>
    <xf numFmtId="0" fontId="1" fillId="20" borderId="1"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51" xfId="0" applyFont="1" applyFill="1" applyBorder="1" applyAlignment="1">
      <alignment horizontal="center" vertical="center"/>
    </xf>
    <xf numFmtId="0" fontId="1" fillId="15" borderId="51" xfId="0" applyFont="1" applyFill="1" applyBorder="1" applyAlignment="1">
      <alignment vertical="center"/>
    </xf>
    <xf numFmtId="0" fontId="12" fillId="2" borderId="5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2" fillId="6" borderId="36" xfId="0" applyFont="1" applyFill="1" applyBorder="1" applyAlignment="1">
      <alignment horizontal="left" vertical="center"/>
    </xf>
    <xf numFmtId="0" fontId="12"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13" fillId="15" borderId="4" xfId="0" applyFont="1" applyFill="1" applyBorder="1" applyAlignment="1">
      <alignment vertical="center" wrapText="1"/>
    </xf>
    <xf numFmtId="0" fontId="13" fillId="15" borderId="50" xfId="0" applyFont="1" applyFill="1" applyBorder="1">
      <alignment vertical="center"/>
    </xf>
    <xf numFmtId="0" fontId="13" fillId="15"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0" fillId="13" borderId="30" xfId="0" applyFill="1" applyBorder="1">
      <alignment vertical="center"/>
    </xf>
    <xf numFmtId="187"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10" fontId="1" fillId="13" borderId="13" xfId="0" applyNumberFormat="1" applyFont="1" applyFill="1" applyBorder="1" applyAlignment="1">
      <alignment vertical="center"/>
    </xf>
    <xf numFmtId="187"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90" fontId="0" fillId="0" borderId="28" xfId="0" applyNumberFormat="1" applyBorder="1" applyAlignment="1">
      <alignment horizontal="center" vertical="center"/>
    </xf>
    <xf numFmtId="190" fontId="0" fillId="0" borderId="68" xfId="0" applyNumberFormat="1" applyBorder="1" applyAlignment="1">
      <alignment horizontal="center" vertical="center"/>
    </xf>
    <xf numFmtId="0" fontId="1" fillId="13" borderId="21" xfId="0" applyFont="1" applyFill="1" applyBorder="1" applyAlignment="1">
      <alignment vertical="center"/>
    </xf>
    <xf numFmtId="10" fontId="1" fillId="13" borderId="20" xfId="0" applyNumberFormat="1" applyFont="1" applyFill="1" applyBorder="1" applyAlignment="1">
      <alignment vertical="center"/>
    </xf>
    <xf numFmtId="0" fontId="1" fillId="13" borderId="40" xfId="0" applyFont="1" applyFill="1" applyBorder="1" applyAlignment="1">
      <alignment horizontal="center" vertical="center"/>
    </xf>
    <xf numFmtId="0" fontId="1" fillId="13" borderId="12" xfId="0" applyFont="1" applyFill="1" applyBorder="1" applyAlignment="1">
      <alignment horizontal="center" vertical="center"/>
    </xf>
    <xf numFmtId="189"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90" fontId="0" fillId="0" borderId="29" xfId="0" applyNumberFormat="1" applyBorder="1" applyAlignment="1">
      <alignment horizontal="center" vertical="center"/>
    </xf>
    <xf numFmtId="190" fontId="0" fillId="0" borderId="71" xfId="0" applyNumberFormat="1" applyBorder="1" applyAlignment="1">
      <alignment horizontal="center" vertical="center"/>
    </xf>
    <xf numFmtId="0" fontId="1" fillId="13" borderId="21" xfId="0" applyFont="1" applyFill="1" applyBorder="1" applyAlignment="1">
      <alignment horizontal="center" vertical="center"/>
    </xf>
    <xf numFmtId="0" fontId="1" fillId="13" borderId="19" xfId="0" applyFont="1" applyFill="1" applyBorder="1" applyAlignment="1">
      <alignment horizontal="center" vertical="center"/>
    </xf>
    <xf numFmtId="0" fontId="14" fillId="13" borderId="0" xfId="0" applyFont="1" applyFill="1" applyBorder="1" applyAlignment="1">
      <alignment horizontal="centerContinuous" vertical="center"/>
    </xf>
    <xf numFmtId="0" fontId="14" fillId="13" borderId="37" xfId="0" applyFont="1" applyFill="1" applyBorder="1" applyAlignment="1">
      <alignment horizontal="centerContinuous" vertical="center"/>
    </xf>
    <xf numFmtId="0" fontId="14" fillId="13" borderId="38" xfId="0" applyFont="1" applyFill="1" applyBorder="1" applyAlignment="1">
      <alignment horizontal="centerContinuous" vertical="center"/>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49" fontId="16" fillId="18" borderId="36" xfId="10" applyNumberFormat="1" applyFont="1" applyFill="1" applyBorder="1" applyAlignment="1">
      <alignment horizontal="center" vertical="center" wrapText="1"/>
    </xf>
    <xf numFmtId="49" fontId="16" fillId="18" borderId="37" xfId="10" applyNumberFormat="1" applyFont="1" applyFill="1" applyBorder="1" applyAlignment="1">
      <alignment horizontal="center" vertical="center"/>
    </xf>
    <xf numFmtId="49" fontId="16" fillId="18" borderId="38" xfId="10" applyNumberFormat="1" applyFont="1" applyFill="1" applyBorder="1" applyAlignment="1">
      <alignment horizontal="center" vertical="center"/>
    </xf>
    <xf numFmtId="49" fontId="16" fillId="18" borderId="24" xfId="10" applyNumberFormat="1" applyFont="1" applyFill="1" applyBorder="1" applyAlignment="1">
      <alignment horizontal="center" vertical="center"/>
    </xf>
    <xf numFmtId="49" fontId="16" fillId="18" borderId="25" xfId="10" applyNumberFormat="1" applyFont="1" applyFill="1" applyBorder="1" applyAlignment="1">
      <alignment horizontal="center" vertical="center"/>
    </xf>
    <xf numFmtId="49" fontId="16" fillId="18" borderId="26" xfId="10" applyNumberFormat="1" applyFont="1" applyFill="1" applyBorder="1" applyAlignment="1">
      <alignment horizontal="center" vertical="center"/>
    </xf>
    <xf numFmtId="0" fontId="17" fillId="13" borderId="36" xfId="10" applyFont="1" applyFill="1" applyBorder="1" applyAlignment="1">
      <alignment horizontal="center" vertical="center" wrapText="1"/>
    </xf>
    <xf numFmtId="0" fontId="17" fillId="13" borderId="38" xfId="10" applyFont="1" applyFill="1" applyBorder="1" applyAlignment="1">
      <alignment horizontal="center" vertical="center" wrapText="1"/>
    </xf>
    <xf numFmtId="0" fontId="17" fillId="13" borderId="22" xfId="10" applyFont="1" applyFill="1" applyBorder="1" applyAlignment="1">
      <alignment horizontal="center" vertical="center" wrapText="1"/>
    </xf>
    <xf numFmtId="0" fontId="17"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8"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2" fillId="6" borderId="26" xfId="0" applyFont="1" applyFill="1" applyBorder="1" applyAlignment="1">
      <alignment horizontal="left" vertical="center"/>
    </xf>
    <xf numFmtId="0" fontId="17" fillId="13" borderId="24" xfId="10" applyFont="1" applyFill="1" applyBorder="1" applyAlignment="1">
      <alignment horizontal="center" vertical="center" wrapText="1"/>
    </xf>
    <xf numFmtId="0" fontId="17" fillId="13" borderId="26" xfId="1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8"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Border="1" applyAlignment="1">
      <alignment vertical="center"/>
    </xf>
    <xf numFmtId="0" fontId="20" fillId="13" borderId="36" xfId="0" applyFont="1" applyFill="1" applyBorder="1">
      <alignment vertical="center"/>
    </xf>
    <xf numFmtId="0" fontId="20" fillId="13" borderId="37" xfId="0" applyFont="1" applyFill="1" applyBorder="1">
      <alignment vertical="center"/>
    </xf>
    <xf numFmtId="0" fontId="19" fillId="13" borderId="37" xfId="0" applyFont="1" applyFill="1" applyBorder="1" applyAlignment="1">
      <alignment vertical="center"/>
    </xf>
    <xf numFmtId="0" fontId="20" fillId="13" borderId="22" xfId="0" applyFont="1" applyFill="1" applyBorder="1">
      <alignment vertical="center"/>
    </xf>
    <xf numFmtId="0" fontId="20" fillId="13" borderId="0" xfId="0" applyFont="1" applyFill="1">
      <alignment vertical="center"/>
    </xf>
    <xf numFmtId="0" fontId="20" fillId="13" borderId="24" xfId="0" applyFont="1" applyFill="1" applyBorder="1">
      <alignment vertical="center"/>
    </xf>
    <xf numFmtId="0" fontId="20" fillId="13" borderId="25" xfId="0" applyFont="1" applyFill="1" applyBorder="1">
      <alignment vertical="center"/>
    </xf>
    <xf numFmtId="0" fontId="19" fillId="13" borderId="25" xfId="0" applyFont="1" applyFill="1" applyBorder="1" applyAlignment="1">
      <alignment vertical="center"/>
    </xf>
    <xf numFmtId="176"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1"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51" xfId="0" applyFont="1" applyFill="1" applyBorder="1" applyAlignment="1">
      <alignment vertical="center"/>
    </xf>
    <xf numFmtId="0" fontId="1" fillId="12" borderId="1" xfId="0" applyFont="1" applyFill="1" applyBorder="1" applyAlignment="1">
      <alignment vertical="center"/>
    </xf>
    <xf numFmtId="0" fontId="1" fillId="12" borderId="2" xfId="0" applyFont="1" applyFill="1" applyBorder="1" applyAlignment="1">
      <alignmen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0"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19" fillId="13" borderId="38" xfId="0" applyFont="1" applyFill="1" applyBorder="1" applyAlignment="1">
      <alignment vertical="center"/>
    </xf>
    <xf numFmtId="0" fontId="19" fillId="13" borderId="23" xfId="0" applyFont="1" applyFill="1" applyBorder="1" applyAlignment="1">
      <alignment vertical="center"/>
    </xf>
    <xf numFmtId="0" fontId="19"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1" fillId="13" borderId="36" xfId="0" applyFont="1" applyFill="1" applyBorder="1" applyAlignment="1">
      <alignment vertical="center"/>
    </xf>
    <xf numFmtId="0" fontId="21" fillId="13" borderId="37" xfId="0" applyFont="1" applyFill="1" applyBorder="1" applyAlignment="1">
      <alignment vertical="center"/>
    </xf>
    <xf numFmtId="0" fontId="21" fillId="13" borderId="22" xfId="0" applyFont="1" applyFill="1" applyBorder="1" applyAlignment="1">
      <alignment vertical="center"/>
    </xf>
    <xf numFmtId="0" fontId="21" fillId="13" borderId="0" xfId="0" applyFont="1" applyFill="1" applyBorder="1" applyAlignment="1">
      <alignment vertical="center"/>
    </xf>
    <xf numFmtId="0" fontId="0" fillId="13" borderId="22" xfId="0" applyFont="1" applyFill="1" applyBorder="1">
      <alignment vertical="center"/>
    </xf>
    <xf numFmtId="0" fontId="12" fillId="13" borderId="22" xfId="0" applyFont="1" applyFill="1" applyBorder="1" applyAlignment="1">
      <alignment vertical="center"/>
    </xf>
    <xf numFmtId="0" fontId="12" fillId="13" borderId="0"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1" fillId="13" borderId="38" xfId="0" applyFont="1" applyFill="1" applyBorder="1" applyAlignment="1">
      <alignment vertical="center"/>
    </xf>
    <xf numFmtId="0" fontId="21" fillId="13" borderId="23" xfId="0" applyFont="1" applyFill="1" applyBorder="1" applyAlignment="1">
      <alignment vertical="center"/>
    </xf>
    <xf numFmtId="0" fontId="12"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2" fillId="0" borderId="0" xfId="0" applyFont="1">
      <alignment vertical="center"/>
    </xf>
    <xf numFmtId="0" fontId="23" fillId="21" borderId="36" xfId="0" applyFont="1" applyFill="1" applyBorder="1" applyAlignment="1">
      <alignment horizontal="centerContinuous" vertical="center"/>
    </xf>
    <xf numFmtId="0" fontId="23" fillId="21" borderId="37" xfId="0" applyFont="1" applyFill="1" applyBorder="1" applyAlignment="1">
      <alignment horizontal="centerContinuous" vertical="center"/>
    </xf>
    <xf numFmtId="0" fontId="23" fillId="21" borderId="22" xfId="0" applyFont="1" applyFill="1" applyBorder="1" applyAlignment="1">
      <alignment horizontal="centerContinuous" vertical="center"/>
    </xf>
    <xf numFmtId="0" fontId="23" fillId="21"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12" fillId="13" borderId="36"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0"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16"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24" fillId="13" borderId="36" xfId="10" applyFont="1" applyFill="1" applyBorder="1" applyAlignment="1">
      <alignment horizontal="center" vertical="center"/>
    </xf>
    <xf numFmtId="0" fontId="24" fillId="13" borderId="37" xfId="10" applyFont="1" applyFill="1" applyBorder="1" applyAlignment="1">
      <alignment horizontal="center" vertical="center"/>
    </xf>
    <xf numFmtId="0" fontId="24" fillId="13" borderId="24" xfId="10" applyFont="1" applyFill="1" applyBorder="1" applyAlignment="1">
      <alignment horizontal="center" vertical="center"/>
    </xf>
    <xf numFmtId="0" fontId="24" fillId="13" borderId="25" xfId="10" applyFont="1" applyFill="1" applyBorder="1" applyAlignment="1">
      <alignment horizontal="center" vertical="center"/>
    </xf>
    <xf numFmtId="0" fontId="24" fillId="0" borderId="36" xfId="10" applyFont="1" applyBorder="1" applyAlignment="1">
      <alignment horizontal="centerContinuous" vertical="center"/>
    </xf>
    <xf numFmtId="0" fontId="24" fillId="0" borderId="37" xfId="10" applyFont="1" applyBorder="1" applyAlignment="1">
      <alignment horizontal="centerContinuous" vertical="center"/>
    </xf>
    <xf numFmtId="0" fontId="24" fillId="0" borderId="24" xfId="10" applyFont="1" applyBorder="1" applyAlignment="1">
      <alignment horizontal="centerContinuous" vertical="center"/>
    </xf>
    <xf numFmtId="0" fontId="24"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23" fillId="21" borderId="38" xfId="0" applyFont="1" applyFill="1" applyBorder="1" applyAlignment="1">
      <alignment horizontal="centerContinuous" vertical="center"/>
    </xf>
    <xf numFmtId="0" fontId="23" fillId="21"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12" fillId="13" borderId="38"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8"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24" fillId="13" borderId="38" xfId="10" applyFont="1" applyFill="1" applyBorder="1" applyAlignment="1">
      <alignment horizontal="center" vertical="center"/>
    </xf>
    <xf numFmtId="0" fontId="24" fillId="13" borderId="26" xfId="10" applyFont="1" applyFill="1" applyBorder="1" applyAlignment="1">
      <alignment horizontal="center" vertical="center"/>
    </xf>
    <xf numFmtId="0" fontId="24" fillId="0" borderId="38" xfId="10" applyFont="1" applyBorder="1" applyAlignment="1">
      <alignment horizontal="centerContinuous" vertical="center"/>
    </xf>
    <xf numFmtId="0" fontId="24"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ill>
        <patternFill patternType="solid">
          <bgColor theme="0" tint="-0.15"/>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0.0988875789592645</c:v>
                </c:pt>
                <c:pt idx="1">
                  <c:v>7.80382364611452</c:v>
                </c:pt>
                <c:pt idx="2">
                  <c:v>2.64541719309793</c:v>
                </c:pt>
                <c:pt idx="3">
                  <c:v>2.42264311355693</c:v>
                </c:pt>
                <c:pt idx="4">
                  <c:v>6.11997834938605</c:v>
                </c:pt>
                <c:pt idx="5">
                  <c:v>1.20713322147802</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0.312514486111953</c:v>
                </c:pt>
                <c:pt idx="1">
                  <c:v>0</c:v>
                </c:pt>
                <c:pt idx="2">
                  <c:v>0.320655569439455</c:v>
                </c:pt>
                <c:pt idx="3">
                  <c:v>0.217229328642089</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0.48541060796785</c:v>
                </c:pt>
                <c:pt idx="2">
                  <c:v>0.0382391212225411</c:v>
                </c:pt>
                <c:pt idx="3">
                  <c:v>0.0335070315156572</c:v>
                </c:pt>
                <c:pt idx="4">
                  <c:v>0.207136282413221</c:v>
                </c:pt>
                <c:pt idx="5">
                  <c:v>0.0218584007518075</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0.00936986990964214</c:v>
                </c:pt>
                <c:pt idx="1">
                  <c:v>0</c:v>
                </c:pt>
                <c:pt idx="2">
                  <c:v>0</c:v>
                </c:pt>
                <c:pt idx="3">
                  <c:v>0.14451713565775</c:v>
                </c:pt>
                <c:pt idx="4">
                  <c:v>0.101594430826967</c:v>
                </c:pt>
                <c:pt idx="5">
                  <c:v>0.000579205898196528</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-350844.204545455</c:v>
                </c:pt>
                <c:pt idx="1">
                  <c:v>-825628.840909091</c:v>
                </c:pt>
                <c:pt idx="2">
                  <c:v>-1633586.84090909</c:v>
                </c:pt>
                <c:pt idx="3">
                  <c:v>-9082.704545455</c:v>
                </c:pt>
                <c:pt idx="4">
                  <c:v>9883.97727272703</c:v>
                </c:pt>
                <c:pt idx="5">
                  <c:v>19850.795454545</c:v>
                </c:pt>
                <c:pt idx="6">
                  <c:v>173660.79545455</c:v>
                </c:pt>
                <c:pt idx="7">
                  <c:v>1946107.84090909</c:v>
                </c:pt>
                <c:pt idx="8">
                  <c:v>-239056.704545455</c:v>
                </c:pt>
                <c:pt idx="9">
                  <c:v>-584230.568181818</c:v>
                </c:pt>
                <c:pt idx="10">
                  <c:v>-862631.931818182</c:v>
                </c:pt>
                <c:pt idx="11">
                  <c:v>367986.93181818</c:v>
                </c:pt>
                <c:pt idx="12">
                  <c:v>-190783.977272727</c:v>
                </c:pt>
                <c:pt idx="13">
                  <c:v>-497339.659090909</c:v>
                </c:pt>
                <c:pt idx="14">
                  <c:v>-723606.477272727</c:v>
                </c:pt>
                <c:pt idx="15">
                  <c:v>558825.11363636</c:v>
                </c:pt>
                <c:pt idx="16">
                  <c:v>-152478.068181818</c:v>
                </c:pt>
                <c:pt idx="17">
                  <c:v>-282502.159090909</c:v>
                </c:pt>
                <c:pt idx="18">
                  <c:v>-135284.659090909</c:v>
                </c:pt>
                <c:pt idx="19">
                  <c:v>-278796.477272727</c:v>
                </c:pt>
                <c:pt idx="20">
                  <c:v>-247901.931818182</c:v>
                </c:pt>
                <c:pt idx="21">
                  <c:v>-271735.568181818</c:v>
                </c:pt>
                <c:pt idx="22">
                  <c:v>-918609.204545455</c:v>
                </c:pt>
                <c:pt idx="23">
                  <c:v>-1202471.93181818</c:v>
                </c:pt>
                <c:pt idx="24">
                  <c:v>-1886051.93181818</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32</xdr:row>
      <xdr:rowOff>286385</xdr:rowOff>
    </xdr:from>
    <xdr:to>
      <xdr:col>7</xdr:col>
      <xdr:colOff>480060</xdr:colOff>
      <xdr:row>47</xdr:row>
      <xdr:rowOff>144145</xdr:rowOff>
    </xdr:to>
    <xdr:graphicFrame>
      <xdr:nvGraphicFramePr>
        <xdr:cNvPr id="3" name="图表 2"/>
        <xdr:cNvGraphicFramePr/>
      </xdr:nvGraphicFramePr>
      <xdr:xfrm>
        <a:off x="286385" y="715645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33</xdr:row>
      <xdr:rowOff>86995</xdr:rowOff>
    </xdr:from>
    <xdr:to>
      <xdr:col>15</xdr:col>
      <xdr:colOff>683895</xdr:colOff>
      <xdr:row>47</xdr:row>
      <xdr:rowOff>149860</xdr:rowOff>
    </xdr:to>
    <xdr:graphicFrame>
      <xdr:nvGraphicFramePr>
        <xdr:cNvPr id="4" name="图表 3"/>
        <xdr:cNvGraphicFramePr/>
      </xdr:nvGraphicFramePr>
      <xdr:xfrm>
        <a:off x="5344160" y="724916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165</xdr:row>
      <xdr:rowOff>8890</xdr:rowOff>
    </xdr:from>
    <xdr:to>
      <xdr:col>15</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340040"/>
          <a:ext cx="10058400" cy="5530215"/>
        </a:xfrm>
        <a:prstGeom prst="rect">
          <a:avLst/>
        </a:prstGeom>
      </xdr:spPr>
    </xdr:pic>
    <xdr:clientData/>
  </xdr:twoCellAnchor>
  <xdr:twoCellAnchor>
    <xdr:from>
      <xdr:col>1</xdr:col>
      <xdr:colOff>51435</xdr:colOff>
      <xdr:row>50</xdr:row>
      <xdr:rowOff>0</xdr:rowOff>
    </xdr:from>
    <xdr:to>
      <xdr:col>7</xdr:col>
      <xdr:colOff>511810</xdr:colOff>
      <xdr:row>64</xdr:row>
      <xdr:rowOff>111760</xdr:rowOff>
    </xdr:to>
    <xdr:graphicFrame>
      <xdr:nvGraphicFramePr>
        <xdr:cNvPr id="18" name="图表 17"/>
        <xdr:cNvGraphicFramePr/>
      </xdr:nvGraphicFramePr>
      <xdr:xfrm>
        <a:off x="318135" y="1063117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49</xdr:row>
      <xdr:rowOff>163830</xdr:rowOff>
    </xdr:from>
    <xdr:to>
      <xdr:col>15</xdr:col>
      <xdr:colOff>394335</xdr:colOff>
      <xdr:row>64</xdr:row>
      <xdr:rowOff>184150</xdr:rowOff>
    </xdr:to>
    <xdr:graphicFrame>
      <xdr:nvGraphicFramePr>
        <xdr:cNvPr id="2" name="图表 1"/>
        <xdr:cNvGraphicFramePr/>
      </xdr:nvGraphicFramePr>
      <xdr:xfrm>
        <a:off x="5384800" y="1059688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65</xdr:row>
      <xdr:rowOff>36195</xdr:rowOff>
    </xdr:from>
    <xdr:to>
      <xdr:col>19</xdr:col>
      <xdr:colOff>495935</xdr:colOff>
      <xdr:row>97</xdr:row>
      <xdr:rowOff>153035</xdr:rowOff>
    </xdr:to>
    <xdr:graphicFrame>
      <xdr:nvGraphicFramePr>
        <xdr:cNvPr id="6" name="图表 5"/>
        <xdr:cNvGraphicFramePr/>
      </xdr:nvGraphicFramePr>
      <xdr:xfrm>
        <a:off x="361950" y="13648690"/>
        <a:ext cx="13275310"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23495</xdr:rowOff>
    </xdr:to>
    <xdr:pic>
      <xdr:nvPicPr>
        <xdr:cNvPr id="2" name="图片 1" descr="m42kynl8f6biaivedwo3np4sxzrtee9"/>
        <xdr:cNvPicPr>
          <a:picLocks noChangeAspect="1"/>
        </xdr:cNvPicPr>
      </xdr:nvPicPr>
      <xdr:blipFill>
        <a:blip r:embed="rId1"/>
        <a:stretch>
          <a:fillRect/>
        </a:stretch>
      </xdr:blipFill>
      <xdr:spPr>
        <a:xfrm>
          <a:off x="299720" y="582930"/>
          <a:ext cx="179705" cy="210185"/>
        </a:xfrm>
        <a:prstGeom prst="rect">
          <a:avLst/>
        </a:prstGeom>
      </xdr:spPr>
    </xdr:pic>
    <xdr:clientData/>
  </xdr:twoCellAnchor>
  <xdr:twoCellAnchor editAs="oneCell">
    <xdr:from>
      <xdr:col>1</xdr:col>
      <xdr:colOff>10160</xdr:colOff>
      <xdr:row>2</xdr:row>
      <xdr:rowOff>5715</xdr:rowOff>
    </xdr:from>
    <xdr:to>
      <xdr:col>1</xdr:col>
      <xdr:colOff>189230</xdr:colOff>
      <xdr:row>3</xdr:row>
      <xdr:rowOff>13970</xdr:rowOff>
    </xdr:to>
    <xdr:pic>
      <xdr:nvPicPr>
        <xdr:cNvPr id="3" name="图片 2" descr="45px-试作舰载型BF-109GT0"/>
        <xdr:cNvPicPr>
          <a:picLocks noChangeAspect="1"/>
        </xdr:cNvPicPr>
      </xdr:nvPicPr>
      <xdr:blipFill>
        <a:blip r:embed="rId2"/>
        <a:stretch>
          <a:fillRect/>
        </a:stretch>
      </xdr:blipFill>
      <xdr:spPr>
        <a:xfrm>
          <a:off x="299720" y="390525"/>
          <a:ext cx="179070" cy="200660"/>
        </a:xfrm>
        <a:prstGeom prst="rect">
          <a:avLst/>
        </a:prstGeom>
      </xdr:spPr>
    </xdr:pic>
    <xdr:clientData/>
  </xdr:twoCellAnchor>
  <xdr:twoCellAnchor editAs="oneCell">
    <xdr:from>
      <xdr:col>1</xdr:col>
      <xdr:colOff>10160</xdr:colOff>
      <xdr:row>4</xdr:row>
      <xdr:rowOff>5715</xdr:rowOff>
    </xdr:from>
    <xdr:to>
      <xdr:col>1</xdr:col>
      <xdr:colOff>189230</xdr:colOff>
      <xdr:row>5</xdr:row>
      <xdr:rowOff>23495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210185"/>
        </a:xfrm>
        <a:prstGeom prst="rect">
          <a:avLst/>
        </a:prstGeom>
      </xdr:spPr>
    </xdr:pic>
    <xdr:clientData/>
  </xdr:twoCellAnchor>
  <xdr:twoCellAnchor editAs="oneCell">
    <xdr:from>
      <xdr:col>1</xdr:col>
      <xdr:colOff>10160</xdr:colOff>
      <xdr:row>5</xdr:row>
      <xdr:rowOff>5715</xdr:rowOff>
    </xdr:from>
    <xdr:to>
      <xdr:col>1</xdr:col>
      <xdr:colOff>189230</xdr:colOff>
      <xdr:row>6</xdr:row>
      <xdr:rowOff>23495</xdr:rowOff>
    </xdr:to>
    <xdr:pic>
      <xdr:nvPicPr>
        <xdr:cNvPr id="5" name="图片 4" descr="45px-试作型彩云(舰攻型)T0"/>
        <xdr:cNvPicPr>
          <a:picLocks noChangeAspect="1"/>
        </xdr:cNvPicPr>
      </xdr:nvPicPr>
      <xdr:blipFill>
        <a:blip r:embed="rId4"/>
        <a:stretch>
          <a:fillRect/>
        </a:stretch>
      </xdr:blipFill>
      <xdr:spPr>
        <a:xfrm>
          <a:off x="299720" y="967740"/>
          <a:ext cx="179070" cy="210185"/>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9525</xdr:rowOff>
    </xdr:to>
    <xdr:pic>
      <xdr:nvPicPr>
        <xdr:cNvPr id="7" name="图片 6" descr="45px-试作舰载型天雷T0"/>
        <xdr:cNvPicPr>
          <a:picLocks noChangeAspect="1"/>
        </xdr:cNvPicPr>
      </xdr:nvPicPr>
      <xdr:blipFill>
        <a:blip r:embed="rId6"/>
        <a:stretch>
          <a:fillRect/>
        </a:stretch>
      </xdr:blipFill>
      <xdr:spPr>
        <a:xfrm>
          <a:off x="299720" y="1346200"/>
          <a:ext cx="182880" cy="1930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D11" sqref="D11:M15"/>
    </sheetView>
  </sheetViews>
  <sheetFormatPr defaultColWidth="8.88888888888889" defaultRowHeight="14.4"/>
  <cols>
    <col min="4" max="4" width="10.2222222222222" customWidth="1"/>
    <col min="13" max="13" width="9.44444444444444" customWidth="1"/>
  </cols>
  <sheetData>
    <row r="1" ht="17.55" spans="1:1">
      <c r="A1" s="613"/>
    </row>
    <row r="2" spans="4:13">
      <c r="D2" s="614" t="s">
        <v>0</v>
      </c>
      <c r="E2" s="615"/>
      <c r="F2" s="615"/>
      <c r="G2" s="615"/>
      <c r="H2" s="615"/>
      <c r="I2" s="615"/>
      <c r="J2" s="615"/>
      <c r="K2" s="615"/>
      <c r="L2" s="615"/>
      <c r="M2" s="675"/>
    </row>
    <row r="3" ht="15.15" spans="4:13">
      <c r="D3" s="616"/>
      <c r="E3" s="617"/>
      <c r="F3" s="617"/>
      <c r="G3" s="617"/>
      <c r="H3" s="617"/>
      <c r="I3" s="617"/>
      <c r="J3" s="617"/>
      <c r="K3" s="617"/>
      <c r="L3" s="617"/>
      <c r="M3" s="676"/>
    </row>
    <row r="4" spans="4:13">
      <c r="D4" s="618" t="s">
        <v>1</v>
      </c>
      <c r="E4" s="619"/>
      <c r="F4" s="619"/>
      <c r="G4" s="619"/>
      <c r="H4" s="619"/>
      <c r="I4" s="619"/>
      <c r="J4" s="619"/>
      <c r="K4" s="619"/>
      <c r="L4" s="677"/>
      <c r="M4" s="677"/>
    </row>
    <row r="5" ht="15.15" spans="4:13">
      <c r="D5" s="620"/>
      <c r="E5" s="621"/>
      <c r="F5" s="621"/>
      <c r="G5" s="621"/>
      <c r="H5" s="621"/>
      <c r="I5" s="621"/>
      <c r="J5" s="621"/>
      <c r="K5" s="621"/>
      <c r="L5" s="678"/>
      <c r="M5" s="678"/>
    </row>
    <row r="6" spans="4:13">
      <c r="D6" s="622" t="s">
        <v>2</v>
      </c>
      <c r="E6" s="623"/>
      <c r="F6" s="623"/>
      <c r="G6" s="623"/>
      <c r="H6" s="623"/>
      <c r="I6" s="623"/>
      <c r="J6" s="623"/>
      <c r="K6" s="623"/>
      <c r="L6" s="623"/>
      <c r="M6" s="679"/>
    </row>
    <row r="7" spans="4:13">
      <c r="D7" s="624"/>
      <c r="E7" s="625"/>
      <c r="F7" s="625"/>
      <c r="G7" s="625"/>
      <c r="H7" s="625"/>
      <c r="I7" s="625"/>
      <c r="J7" s="625"/>
      <c r="K7" s="625"/>
      <c r="L7" s="625"/>
      <c r="M7" s="680"/>
    </row>
    <row r="8" spans="4:13">
      <c r="D8" s="624"/>
      <c r="E8" s="625"/>
      <c r="F8" s="625"/>
      <c r="G8" s="625"/>
      <c r="H8" s="625"/>
      <c r="I8" s="625"/>
      <c r="J8" s="625"/>
      <c r="K8" s="625"/>
      <c r="L8" s="625"/>
      <c r="M8" s="680"/>
    </row>
    <row r="9" spans="4:13">
      <c r="D9" s="624"/>
      <c r="E9" s="625"/>
      <c r="F9" s="625"/>
      <c r="G9" s="625"/>
      <c r="H9" s="625"/>
      <c r="I9" s="625"/>
      <c r="J9" s="625"/>
      <c r="K9" s="625"/>
      <c r="L9" s="625"/>
      <c r="M9" s="680"/>
    </row>
    <row r="10" ht="15.15" spans="4:13">
      <c r="D10" s="624"/>
      <c r="E10" s="626"/>
      <c r="F10" s="626"/>
      <c r="G10" s="626"/>
      <c r="H10" s="626"/>
      <c r="I10" s="626"/>
      <c r="J10" s="626"/>
      <c r="K10" s="626"/>
      <c r="L10" s="626"/>
      <c r="M10" s="680"/>
    </row>
    <row r="11" spans="4:13">
      <c r="D11" s="622" t="s">
        <v>3</v>
      </c>
      <c r="E11" s="623"/>
      <c r="F11" s="623"/>
      <c r="G11" s="623"/>
      <c r="H11" s="623"/>
      <c r="I11" s="623"/>
      <c r="J11" s="623"/>
      <c r="K11" s="623"/>
      <c r="L11" s="623"/>
      <c r="M11" s="679"/>
    </row>
    <row r="12" spans="4:13">
      <c r="D12" s="624"/>
      <c r="E12" s="625"/>
      <c r="F12" s="625"/>
      <c r="G12" s="625"/>
      <c r="H12" s="625"/>
      <c r="I12" s="625"/>
      <c r="J12" s="625"/>
      <c r="K12" s="625"/>
      <c r="L12" s="625"/>
      <c r="M12" s="680"/>
    </row>
    <row r="13" spans="4:13">
      <c r="D13" s="624"/>
      <c r="E13" s="625"/>
      <c r="F13" s="625"/>
      <c r="G13" s="625"/>
      <c r="H13" s="625"/>
      <c r="I13" s="625"/>
      <c r="J13" s="625"/>
      <c r="K13" s="625"/>
      <c r="L13" s="625"/>
      <c r="M13" s="680"/>
    </row>
    <row r="14" spans="4:13">
      <c r="D14" s="624"/>
      <c r="E14" s="625"/>
      <c r="F14" s="625"/>
      <c r="G14" s="625"/>
      <c r="H14" s="625"/>
      <c r="I14" s="625"/>
      <c r="J14" s="625"/>
      <c r="K14" s="625"/>
      <c r="L14" s="625"/>
      <c r="M14" s="680"/>
    </row>
    <row r="15" ht="15.15" spans="4:13">
      <c r="D15" s="627"/>
      <c r="E15" s="628"/>
      <c r="F15" s="628"/>
      <c r="G15" s="628"/>
      <c r="H15" s="628"/>
      <c r="I15" s="628"/>
      <c r="J15" s="628"/>
      <c r="K15" s="628"/>
      <c r="L15" s="628"/>
      <c r="M15" s="681"/>
    </row>
    <row r="16" spans="4:13">
      <c r="D16" s="629" t="s">
        <v>4</v>
      </c>
      <c r="E16" s="630"/>
      <c r="F16" s="630"/>
      <c r="G16" s="630"/>
      <c r="H16" s="630"/>
      <c r="I16" s="630"/>
      <c r="J16" s="630"/>
      <c r="K16" s="630"/>
      <c r="L16" s="630"/>
      <c r="M16" s="682"/>
    </row>
    <row r="17" spans="4:13">
      <c r="D17" s="631"/>
      <c r="E17" s="632"/>
      <c r="F17" s="632"/>
      <c r="G17" s="632"/>
      <c r="H17" s="632"/>
      <c r="I17" s="632"/>
      <c r="J17" s="632"/>
      <c r="K17" s="632"/>
      <c r="L17" s="632"/>
      <c r="M17" s="683"/>
    </row>
    <row r="18" ht="15.15" spans="4:13">
      <c r="D18" s="633"/>
      <c r="E18" s="634"/>
      <c r="F18" s="634"/>
      <c r="G18" s="634"/>
      <c r="H18" s="634"/>
      <c r="I18" s="634"/>
      <c r="J18" s="634"/>
      <c r="K18" s="634"/>
      <c r="L18" s="634"/>
      <c r="M18" s="684"/>
    </row>
    <row r="19" spans="4:13">
      <c r="D19" s="635" t="s">
        <v>5</v>
      </c>
      <c r="E19" s="636"/>
      <c r="F19" s="636"/>
      <c r="G19" s="636"/>
      <c r="H19" s="636"/>
      <c r="I19" s="636"/>
      <c r="J19" s="636"/>
      <c r="K19" s="636"/>
      <c r="L19" s="636"/>
      <c r="M19" s="685"/>
    </row>
    <row r="20" ht="15.15" spans="4:13">
      <c r="D20" s="637"/>
      <c r="E20" s="638"/>
      <c r="F20" s="638"/>
      <c r="G20" s="638"/>
      <c r="H20" s="638"/>
      <c r="I20" s="638"/>
      <c r="J20" s="638"/>
      <c r="K20" s="638"/>
      <c r="L20" s="638"/>
      <c r="M20" s="686"/>
    </row>
    <row r="21" spans="4:13">
      <c r="D21" s="639" t="s">
        <v>6</v>
      </c>
      <c r="E21" s="640"/>
      <c r="F21" s="640"/>
      <c r="G21" s="640"/>
      <c r="H21" s="640"/>
      <c r="I21" s="640"/>
      <c r="J21" s="640"/>
      <c r="K21" s="640"/>
      <c r="L21" s="640"/>
      <c r="M21" s="687"/>
    </row>
    <row r="22" spans="4:13">
      <c r="D22" s="641"/>
      <c r="E22" s="642"/>
      <c r="F22" s="642"/>
      <c r="G22" s="642"/>
      <c r="H22" s="642"/>
      <c r="I22" s="642"/>
      <c r="J22" s="642"/>
      <c r="K22" s="642"/>
      <c r="L22" s="642"/>
      <c r="M22" s="688"/>
    </row>
    <row r="23" spans="4:13">
      <c r="D23" s="641"/>
      <c r="E23" s="642"/>
      <c r="F23" s="642"/>
      <c r="G23" s="642"/>
      <c r="H23" s="642"/>
      <c r="I23" s="642"/>
      <c r="J23" s="642"/>
      <c r="K23" s="642"/>
      <c r="L23" s="642"/>
      <c r="M23" s="688"/>
    </row>
    <row r="24" spans="4:13">
      <c r="D24" s="641"/>
      <c r="E24" s="642"/>
      <c r="F24" s="642"/>
      <c r="G24" s="642"/>
      <c r="H24" s="642"/>
      <c r="I24" s="642"/>
      <c r="J24" s="642"/>
      <c r="K24" s="642"/>
      <c r="L24" s="642"/>
      <c r="M24" s="688"/>
    </row>
    <row r="25" spans="4:13">
      <c r="D25" s="641"/>
      <c r="E25" s="642"/>
      <c r="F25" s="642"/>
      <c r="G25" s="642"/>
      <c r="H25" s="642"/>
      <c r="I25" s="642"/>
      <c r="J25" s="642"/>
      <c r="K25" s="642"/>
      <c r="L25" s="642"/>
      <c r="M25" s="688"/>
    </row>
    <row r="26" spans="4:13">
      <c r="D26" s="643"/>
      <c r="E26" s="644"/>
      <c r="F26" s="644"/>
      <c r="G26" s="644"/>
      <c r="H26" s="644"/>
      <c r="I26" s="644"/>
      <c r="J26" s="644"/>
      <c r="K26" s="644"/>
      <c r="L26" s="644"/>
      <c r="M26" s="689"/>
    </row>
    <row r="27" ht="15.15" spans="4:13">
      <c r="D27" s="645"/>
      <c r="E27" s="646"/>
      <c r="F27" s="646"/>
      <c r="G27" s="646"/>
      <c r="H27" s="646"/>
      <c r="I27" s="646"/>
      <c r="J27" s="646"/>
      <c r="K27" s="646"/>
      <c r="L27" s="646"/>
      <c r="M27" s="690"/>
    </row>
    <row r="28" spans="4:13">
      <c r="D28" s="624" t="s">
        <v>7</v>
      </c>
      <c r="E28" s="625"/>
      <c r="F28" s="625"/>
      <c r="G28" s="625"/>
      <c r="H28" s="625"/>
      <c r="I28" s="625"/>
      <c r="J28" s="625"/>
      <c r="K28" s="625"/>
      <c r="L28" s="625"/>
      <c r="M28" s="680"/>
    </row>
    <row r="29" spans="4:13">
      <c r="D29" s="624"/>
      <c r="E29" s="625"/>
      <c r="F29" s="625"/>
      <c r="G29" s="625"/>
      <c r="H29" s="625"/>
      <c r="I29" s="625"/>
      <c r="J29" s="625"/>
      <c r="K29" s="625"/>
      <c r="L29" s="625"/>
      <c r="M29" s="680"/>
    </row>
    <row r="30" spans="4:13">
      <c r="D30" s="624"/>
      <c r="E30" s="625"/>
      <c r="F30" s="625"/>
      <c r="G30" s="625"/>
      <c r="H30" s="625"/>
      <c r="I30" s="625"/>
      <c r="J30" s="625"/>
      <c r="K30" s="625"/>
      <c r="L30" s="625"/>
      <c r="M30" s="680"/>
    </row>
    <row r="31" ht="15.15" spans="4:13">
      <c r="D31" s="624"/>
      <c r="E31" s="625"/>
      <c r="F31" s="625"/>
      <c r="G31" s="625"/>
      <c r="H31" s="625"/>
      <c r="I31" s="625"/>
      <c r="J31" s="625"/>
      <c r="K31" s="625"/>
      <c r="L31" s="625"/>
      <c r="M31" s="680"/>
    </row>
    <row r="32" ht="14" customHeight="1" spans="4:13">
      <c r="D32" s="647" t="s">
        <v>8</v>
      </c>
      <c r="E32" s="648"/>
      <c r="F32" s="648"/>
      <c r="G32" s="648"/>
      <c r="H32" s="648"/>
      <c r="I32" s="648"/>
      <c r="J32" s="648"/>
      <c r="K32" s="648"/>
      <c r="L32" s="648"/>
      <c r="M32" s="691"/>
    </row>
    <row r="33" ht="15.15" spans="4:13">
      <c r="D33" s="649"/>
      <c r="E33" s="650"/>
      <c r="F33" s="650"/>
      <c r="G33" s="650"/>
      <c r="H33" s="650"/>
      <c r="I33" s="650"/>
      <c r="J33" s="650"/>
      <c r="K33" s="650"/>
      <c r="L33" s="650"/>
      <c r="M33" s="692"/>
    </row>
    <row r="34" ht="15" customHeight="1" spans="4:13">
      <c r="D34" s="651" t="s">
        <v>9</v>
      </c>
      <c r="E34" s="652"/>
      <c r="F34" s="652"/>
      <c r="G34" s="652"/>
      <c r="H34" s="652"/>
      <c r="I34" s="652"/>
      <c r="J34" s="652"/>
      <c r="K34" s="652"/>
      <c r="L34" s="652"/>
      <c r="M34" s="693"/>
    </row>
    <row r="35" ht="15.15" spans="4:13">
      <c r="D35" s="653"/>
      <c r="E35" s="654"/>
      <c r="F35" s="654"/>
      <c r="G35" s="654"/>
      <c r="H35" s="654"/>
      <c r="I35" s="654"/>
      <c r="J35" s="654"/>
      <c r="K35" s="654"/>
      <c r="L35" s="654"/>
      <c r="M35" s="694"/>
    </row>
    <row r="36" spans="4:13">
      <c r="D36" s="655" t="s">
        <v>10</v>
      </c>
      <c r="E36" s="656"/>
      <c r="F36" s="656"/>
      <c r="G36" s="656"/>
      <c r="H36" s="656"/>
      <c r="I36" s="656"/>
      <c r="J36" s="656"/>
      <c r="K36" s="656"/>
      <c r="L36" s="656"/>
      <c r="M36" s="695"/>
    </row>
    <row r="37" ht="15.15" spans="4:13">
      <c r="D37" s="657"/>
      <c r="E37" s="658"/>
      <c r="F37" s="658"/>
      <c r="G37" s="658"/>
      <c r="H37" s="658"/>
      <c r="I37" s="658"/>
      <c r="J37" s="658"/>
      <c r="K37" s="658"/>
      <c r="L37" s="658"/>
      <c r="M37" s="696"/>
    </row>
    <row r="38" spans="4:13">
      <c r="D38" s="659" t="s">
        <v>11</v>
      </c>
      <c r="E38" s="660"/>
      <c r="F38" s="660"/>
      <c r="G38" s="660"/>
      <c r="H38" s="660"/>
      <c r="I38" s="660"/>
      <c r="J38" s="660"/>
      <c r="K38" s="660"/>
      <c r="L38" s="660"/>
      <c r="M38" s="697"/>
    </row>
    <row r="39" ht="32" customHeight="1" spans="4:13">
      <c r="D39" s="661"/>
      <c r="E39" s="662"/>
      <c r="F39" s="662"/>
      <c r="G39" s="662"/>
      <c r="H39" s="662"/>
      <c r="I39" s="662"/>
      <c r="J39" s="662"/>
      <c r="K39" s="662"/>
      <c r="L39" s="662"/>
      <c r="M39" s="698"/>
    </row>
    <row r="41" ht="15.15"/>
    <row r="42" spans="2:16">
      <c r="B42" s="663" t="s">
        <v>12</v>
      </c>
      <c r="C42" s="664"/>
      <c r="D42" s="665"/>
      <c r="E42" s="666" t="s">
        <v>13</v>
      </c>
      <c r="F42" s="664"/>
      <c r="G42" s="665"/>
      <c r="H42" s="666" t="s">
        <v>14</v>
      </c>
      <c r="I42" s="664"/>
      <c r="J42" s="665"/>
      <c r="K42" s="666" t="s">
        <v>15</v>
      </c>
      <c r="L42" s="664"/>
      <c r="M42" s="665"/>
      <c r="N42" s="666" t="s">
        <v>16</v>
      </c>
      <c r="O42" s="664"/>
      <c r="P42" s="699"/>
    </row>
    <row r="43" spans="2:16">
      <c r="B43" s="667" t="s">
        <v>17</v>
      </c>
      <c r="C43" s="668"/>
      <c r="D43" s="669">
        <v>70</v>
      </c>
      <c r="E43" s="503" t="s">
        <v>18</v>
      </c>
      <c r="F43" s="503"/>
      <c r="G43" s="669">
        <v>200</v>
      </c>
      <c r="H43" s="670" t="s">
        <v>19</v>
      </c>
      <c r="I43" s="668"/>
      <c r="J43" s="669" t="s">
        <v>20</v>
      </c>
      <c r="K43" s="670" t="s">
        <v>21</v>
      </c>
      <c r="L43" s="668"/>
      <c r="M43" s="669">
        <v>12</v>
      </c>
      <c r="N43" s="670" t="s">
        <v>22</v>
      </c>
      <c r="O43" s="668"/>
      <c r="P43" s="700">
        <v>0</v>
      </c>
    </row>
    <row r="44" spans="2:16">
      <c r="B44" s="667" t="s">
        <v>23</v>
      </c>
      <c r="C44" s="668"/>
      <c r="D44" s="669">
        <v>0</v>
      </c>
      <c r="E44" s="503" t="s">
        <v>24</v>
      </c>
      <c r="F44" s="503"/>
      <c r="G44" s="669">
        <v>130</v>
      </c>
      <c r="H44" s="670" t="s">
        <v>25</v>
      </c>
      <c r="I44" s="668"/>
      <c r="J44" s="669">
        <v>6</v>
      </c>
      <c r="K44" s="670" t="s">
        <v>26</v>
      </c>
      <c r="L44" s="668"/>
      <c r="M44" s="669">
        <v>8</v>
      </c>
      <c r="N44" s="670" t="s">
        <v>27</v>
      </c>
      <c r="O44" s="668"/>
      <c r="P44" s="700">
        <v>20</v>
      </c>
    </row>
    <row r="45" spans="2:16">
      <c r="B45" s="667" t="s">
        <v>28</v>
      </c>
      <c r="C45" s="668"/>
      <c r="D45" s="669">
        <v>20</v>
      </c>
      <c r="E45" s="670" t="s">
        <v>29</v>
      </c>
      <c r="F45" s="668"/>
      <c r="G45" s="669" t="s">
        <v>30</v>
      </c>
      <c r="H45" s="670" t="s">
        <v>31</v>
      </c>
      <c r="I45" s="668"/>
      <c r="J45" s="669">
        <v>2</v>
      </c>
      <c r="K45" s="670" t="s">
        <v>32</v>
      </c>
      <c r="L45" s="668"/>
      <c r="M45" s="669">
        <v>18</v>
      </c>
      <c r="N45" s="670" t="s">
        <v>33</v>
      </c>
      <c r="O45" s="668"/>
      <c r="P45" s="700">
        <v>100</v>
      </c>
    </row>
    <row r="46" spans="2:16">
      <c r="B46" s="667" t="s">
        <v>34</v>
      </c>
      <c r="C46" s="668"/>
      <c r="D46" s="669">
        <v>60</v>
      </c>
      <c r="E46" s="503" t="s">
        <v>35</v>
      </c>
      <c r="F46" s="503"/>
      <c r="G46" s="669">
        <v>30</v>
      </c>
      <c r="H46" s="670" t="s">
        <v>36</v>
      </c>
      <c r="I46" s="668"/>
      <c r="J46" s="669">
        <v>1</v>
      </c>
      <c r="K46" s="670" t="s">
        <v>37</v>
      </c>
      <c r="L46" s="668"/>
      <c r="M46" s="669">
        <v>80</v>
      </c>
      <c r="N46" s="670" t="s">
        <v>38</v>
      </c>
      <c r="O46" s="668"/>
      <c r="P46" s="701" t="s">
        <v>39</v>
      </c>
    </row>
    <row r="47" ht="15.15" spans="2:16">
      <c r="B47" s="671" t="s">
        <v>40</v>
      </c>
      <c r="C47" s="672"/>
      <c r="D47" s="673">
        <v>50</v>
      </c>
      <c r="E47" s="512" t="s">
        <v>41</v>
      </c>
      <c r="F47" s="512"/>
      <c r="G47" s="673">
        <v>0</v>
      </c>
      <c r="H47" s="674"/>
      <c r="I47" s="672"/>
      <c r="J47" s="673"/>
      <c r="K47" s="674" t="s">
        <v>42</v>
      </c>
      <c r="L47" s="672"/>
      <c r="M47" s="673" t="s">
        <v>43</v>
      </c>
      <c r="N47" s="674"/>
      <c r="O47" s="672"/>
      <c r="P47" s="702"/>
    </row>
    <row r="48" ht="15.15" spans="2:16">
      <c r="B48" s="284" t="s">
        <v>44</v>
      </c>
      <c r="C48" s="285"/>
      <c r="D48" s="285"/>
      <c r="E48" s="285"/>
      <c r="F48" s="285"/>
      <c r="G48" s="285"/>
      <c r="H48" s="285"/>
      <c r="I48" s="285"/>
      <c r="J48" s="285"/>
      <c r="K48" s="285"/>
      <c r="L48" s="285"/>
      <c r="M48" s="285"/>
      <c r="N48" s="285"/>
      <c r="O48" s="285"/>
      <c r="P48" s="294"/>
    </row>
    <row r="59" spans="2:2">
      <c r="B59" s="31"/>
    </row>
    <row r="60" spans="2:3">
      <c r="B60" s="31"/>
      <c r="C60" s="31"/>
    </row>
    <row r="61" spans="2:3">
      <c r="B61" s="31"/>
      <c r="C61" s="31"/>
    </row>
    <row r="62" spans="3:3">
      <c r="C62" s="31"/>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4"/>
  <sheetViews>
    <sheetView tabSelected="1" zoomScale="80" zoomScaleNormal="80" topLeftCell="A2" workbookViewId="0">
      <selection activeCell="D8" sqref="D8"/>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8.88888888888889" customWidth="1"/>
    <col min="19" max="19" width="11.8055555555556" customWidth="1"/>
    <col min="23" max="23" width="15.4444444444444" customWidth="1"/>
  </cols>
  <sheetData>
    <row r="1" ht="16.35" spans="1:28">
      <c r="A1" s="363"/>
      <c r="B1" s="364" t="s">
        <v>45</v>
      </c>
      <c r="C1" s="365"/>
      <c r="D1" s="363"/>
      <c r="E1" s="363"/>
      <c r="F1" s="363"/>
      <c r="G1" s="363"/>
      <c r="H1" s="363"/>
      <c r="I1" s="363"/>
      <c r="J1" s="363"/>
      <c r="K1" s="363"/>
      <c r="L1" s="363"/>
      <c r="M1" s="363"/>
      <c r="N1" s="363"/>
      <c r="O1" s="363"/>
      <c r="P1" s="363"/>
      <c r="Q1" s="363"/>
      <c r="R1" s="363"/>
      <c r="S1" s="363"/>
      <c r="T1" s="363"/>
      <c r="U1" s="363"/>
      <c r="V1" s="363"/>
      <c r="W1" s="368"/>
      <c r="X1" s="368"/>
      <c r="Y1" s="368"/>
      <c r="Z1" s="368"/>
      <c r="AA1" s="368"/>
      <c r="AB1" s="368"/>
    </row>
    <row r="2" ht="22.95" spans="1:28">
      <c r="A2" s="363"/>
      <c r="B2" s="366"/>
      <c r="C2" s="367"/>
      <c r="D2" s="368"/>
      <c r="E2" s="369" t="s">
        <v>46</v>
      </c>
      <c r="F2" s="370"/>
      <c r="G2" s="370"/>
      <c r="H2" s="370"/>
      <c r="I2" s="370"/>
      <c r="J2" s="370"/>
      <c r="K2" s="370"/>
      <c r="L2" s="370"/>
      <c r="M2" s="370"/>
      <c r="N2" s="471"/>
      <c r="O2" s="472"/>
      <c r="P2" s="472"/>
      <c r="Q2" s="522" t="s">
        <v>47</v>
      </c>
      <c r="R2" s="523"/>
      <c r="S2" s="524"/>
      <c r="T2" s="363"/>
      <c r="U2" s="363"/>
      <c r="V2" s="363"/>
      <c r="W2" s="363"/>
      <c r="X2" s="363"/>
      <c r="Y2" s="363"/>
      <c r="Z2" s="363"/>
      <c r="AA2" s="363"/>
      <c r="AB2" s="363"/>
    </row>
    <row r="3" ht="22.95" spans="1:28">
      <c r="A3" s="363"/>
      <c r="B3" s="363"/>
      <c r="C3" s="363"/>
      <c r="D3" s="363"/>
      <c r="E3" s="371"/>
      <c r="F3" s="372"/>
      <c r="G3" s="372"/>
      <c r="H3" s="372"/>
      <c r="I3" s="372"/>
      <c r="J3" s="372"/>
      <c r="K3" s="372"/>
      <c r="L3" s="372"/>
      <c r="M3" s="372"/>
      <c r="N3" s="473"/>
      <c r="O3" s="472"/>
      <c r="P3" s="298"/>
      <c r="Q3" s="525"/>
      <c r="R3" s="526"/>
      <c r="S3" s="527"/>
      <c r="T3" s="363"/>
      <c r="U3" s="363"/>
      <c r="V3" s="363"/>
      <c r="W3" s="363"/>
      <c r="X3" s="363"/>
      <c r="Y3" s="363"/>
      <c r="Z3" s="363"/>
      <c r="AA3" s="363"/>
      <c r="AB3" s="363"/>
    </row>
    <row r="4" ht="22.2" spans="1:28">
      <c r="A4" s="373"/>
      <c r="B4" t="s">
        <v>48</v>
      </c>
      <c r="C4" s="298"/>
      <c r="D4" s="298"/>
      <c r="E4" s="298"/>
      <c r="G4" s="374"/>
      <c r="H4" s="374"/>
      <c r="I4" s="374"/>
      <c r="J4" s="374"/>
      <c r="K4" s="374"/>
      <c r="L4" s="374"/>
      <c r="M4" s="374"/>
      <c r="N4" s="374"/>
      <c r="O4" s="474"/>
      <c r="P4" s="298"/>
      <c r="Q4" s="298"/>
      <c r="R4" s="298"/>
      <c r="S4" s="298"/>
      <c r="T4" s="363"/>
      <c r="U4" s="363"/>
      <c r="V4" s="363"/>
      <c r="W4" s="363"/>
      <c r="X4" s="363"/>
      <c r="Y4" s="363"/>
      <c r="Z4" s="363"/>
      <c r="AA4" s="363"/>
      <c r="AB4" s="363"/>
    </row>
    <row r="5" ht="21" customHeight="1" spans="1:28">
      <c r="A5" s="373"/>
      <c r="B5" s="298"/>
      <c r="C5" s="375" t="str">
        <f>IF(D8&gt;3,"4期金船一共只有3艘哦","")</f>
        <v/>
      </c>
      <c r="D5" s="375"/>
      <c r="E5" s="375"/>
      <c r="F5" s="376" t="str">
        <f>IF(G8&gt;2,"4期彩船一共只有2艘哦","")</f>
        <v/>
      </c>
      <c r="G5" s="376"/>
      <c r="H5" s="376"/>
      <c r="I5" s="376"/>
      <c r="J5" s="376" t="str">
        <f>IF(K8&gt;11,"2/3期科研船一共只有11艘哦","")</f>
        <v/>
      </c>
      <c r="K5" s="376"/>
      <c r="L5" s="376"/>
      <c r="M5" s="376"/>
      <c r="N5" s="474"/>
      <c r="O5" s="474"/>
      <c r="P5" s="298"/>
      <c r="Q5" s="298"/>
      <c r="R5" s="474"/>
      <c r="S5" s="363"/>
      <c r="T5" s="363"/>
      <c r="U5" s="363"/>
      <c r="V5" s="363"/>
      <c r="W5" s="363"/>
      <c r="X5" s="363"/>
      <c r="Y5" s="363"/>
      <c r="Z5" s="363"/>
      <c r="AA5" s="363"/>
      <c r="AB5" s="363"/>
    </row>
    <row r="6" ht="17" customHeight="1" spans="1:28">
      <c r="A6" s="373"/>
      <c r="B6" s="377" t="s">
        <v>49</v>
      </c>
      <c r="C6" s="378"/>
      <c r="D6" s="379">
        <v>137.53</v>
      </c>
      <c r="E6" s="380" t="s">
        <v>50</v>
      </c>
      <c r="F6" s="381"/>
      <c r="G6" s="382">
        <f>白天模拟!AB28</f>
        <v>137.529235968696</v>
      </c>
      <c r="H6" s="1" t="s">
        <v>51</v>
      </c>
      <c r="I6" s="160"/>
      <c r="J6" s="160"/>
      <c r="K6" s="160"/>
      <c r="L6" s="160"/>
      <c r="M6" s="160"/>
      <c r="N6" s="475" t="s">
        <v>52</v>
      </c>
      <c r="O6" s="476"/>
      <c r="P6" s="477">
        <f>100*(H29*M117+K117*H30+J117*H31+H32*L117)/(24*F115+D31*H117+I117*D32)</f>
        <v>116.695892718641</v>
      </c>
      <c r="Q6" s="476"/>
      <c r="R6" s="528" t="s">
        <v>53</v>
      </c>
      <c r="S6" s="529"/>
      <c r="T6" s="363"/>
      <c r="U6" s="363"/>
      <c r="V6" s="363"/>
      <c r="W6" s="363"/>
      <c r="X6" s="363"/>
      <c r="Y6" s="363"/>
      <c r="Z6" s="363"/>
      <c r="AA6" s="363"/>
      <c r="AB6" s="363"/>
    </row>
    <row r="7" ht="17" customHeight="1" spans="1:28">
      <c r="A7" s="373"/>
      <c r="B7" s="383" t="s">
        <v>54</v>
      </c>
      <c r="C7" s="384"/>
      <c r="D7" s="379">
        <v>52.83</v>
      </c>
      <c r="E7" s="385" t="s">
        <v>50</v>
      </c>
      <c r="F7" s="386"/>
      <c r="G7" s="387">
        <f>夜晚模拟!AB28</f>
        <v>52.8316080931454</v>
      </c>
      <c r="H7" s="388" t="s">
        <v>51</v>
      </c>
      <c r="I7" s="478"/>
      <c r="J7" s="478"/>
      <c r="K7" s="478"/>
      <c r="L7" s="478"/>
      <c r="M7" s="478"/>
      <c r="N7" s="475" t="s">
        <v>55</v>
      </c>
      <c r="O7" s="477"/>
      <c r="P7" s="477"/>
      <c r="Q7" s="476"/>
      <c r="R7" s="530"/>
      <c r="S7" s="531"/>
      <c r="T7" s="363"/>
      <c r="U7" s="363"/>
      <c r="V7" s="363"/>
      <c r="W7" s="363"/>
      <c r="X7" s="363"/>
      <c r="Y7" s="363"/>
      <c r="Z7" s="363"/>
      <c r="AA7" s="363"/>
      <c r="AB7" s="363"/>
    </row>
    <row r="8" ht="16" customHeight="1" spans="1:28">
      <c r="A8" s="373"/>
      <c r="B8" s="389" t="s">
        <v>56</v>
      </c>
      <c r="C8" s="390"/>
      <c r="D8" s="391">
        <v>3</v>
      </c>
      <c r="E8" s="160" t="s">
        <v>57</v>
      </c>
      <c r="F8" s="160"/>
      <c r="G8" s="392">
        <v>2</v>
      </c>
      <c r="H8" s="160" t="s">
        <v>58</v>
      </c>
      <c r="I8" s="160"/>
      <c r="J8" s="160"/>
      <c r="K8" s="391">
        <v>2</v>
      </c>
      <c r="L8" s="479" t="s">
        <v>59</v>
      </c>
      <c r="M8" s="479"/>
      <c r="N8" s="479"/>
      <c r="O8" s="479"/>
      <c r="P8" s="479"/>
      <c r="Q8" s="378"/>
      <c r="R8" s="530"/>
      <c r="S8" s="531"/>
      <c r="T8" s="363"/>
      <c r="U8" s="363"/>
      <c r="V8" s="363"/>
      <c r="W8" s="363"/>
      <c r="X8" s="363"/>
      <c r="Y8" s="363"/>
      <c r="Z8" s="363"/>
      <c r="AA8" s="363"/>
      <c r="AB8" s="363"/>
    </row>
    <row r="9" ht="16.35" spans="1:28">
      <c r="A9" s="363"/>
      <c r="B9" s="1" t="s">
        <v>60</v>
      </c>
      <c r="C9" s="2"/>
      <c r="D9" s="393">
        <v>0</v>
      </c>
      <c r="E9" s="394" t="s">
        <v>61</v>
      </c>
      <c r="F9" s="395"/>
      <c r="G9" s="395"/>
      <c r="H9" s="395"/>
      <c r="I9" s="395"/>
      <c r="J9" s="395"/>
      <c r="K9" s="395"/>
      <c r="L9" s="395"/>
      <c r="M9" s="395"/>
      <c r="N9" s="395"/>
      <c r="O9" s="395"/>
      <c r="P9" s="395"/>
      <c r="Q9" s="532"/>
      <c r="R9" s="530"/>
      <c r="S9" s="531"/>
      <c r="T9" s="363"/>
      <c r="U9" s="363"/>
      <c r="V9" s="363"/>
      <c r="W9" s="363"/>
      <c r="X9" s="363"/>
      <c r="Y9" s="363"/>
      <c r="Z9" s="363"/>
      <c r="AA9" s="363"/>
      <c r="AB9" s="363"/>
    </row>
    <row r="10" ht="16.35" spans="1:28">
      <c r="A10" s="363"/>
      <c r="B10" s="396" t="s">
        <v>62</v>
      </c>
      <c r="C10" s="397"/>
      <c r="D10" s="393">
        <v>100</v>
      </c>
      <c r="E10" s="398" t="s">
        <v>63</v>
      </c>
      <c r="F10" s="399"/>
      <c r="G10" s="399"/>
      <c r="H10" s="399"/>
      <c r="I10" s="399"/>
      <c r="J10" s="399"/>
      <c r="K10" s="399"/>
      <c r="L10" s="399"/>
      <c r="M10" s="399"/>
      <c r="N10" s="399"/>
      <c r="O10" s="399"/>
      <c r="P10" s="399"/>
      <c r="Q10" s="533"/>
      <c r="R10" s="530"/>
      <c r="S10" s="531"/>
      <c r="T10" s="298"/>
      <c r="U10" s="298"/>
      <c r="V10" s="298"/>
      <c r="W10" s="298"/>
      <c r="X10" s="363"/>
      <c r="Y10" s="363"/>
      <c r="Z10" s="363"/>
      <c r="AA10" s="363"/>
      <c r="AB10" s="363"/>
    </row>
    <row r="11" ht="16.35" spans="1:28">
      <c r="A11" s="363"/>
      <c r="B11" s="400" t="s">
        <v>16</v>
      </c>
      <c r="C11" s="401"/>
      <c r="D11" s="393">
        <v>20</v>
      </c>
      <c r="E11" s="402" t="s">
        <v>64</v>
      </c>
      <c r="F11" s="403"/>
      <c r="G11" s="403"/>
      <c r="H11" s="403"/>
      <c r="I11" s="403"/>
      <c r="J11" s="403"/>
      <c r="K11" s="403"/>
      <c r="L11" s="403"/>
      <c r="M11" s="403"/>
      <c r="N11" s="403"/>
      <c r="O11" s="403"/>
      <c r="P11" s="403"/>
      <c r="Q11" s="534"/>
      <c r="R11" s="530"/>
      <c r="S11" s="531"/>
      <c r="T11" s="298"/>
      <c r="U11" s="298"/>
      <c r="V11" s="298"/>
      <c r="W11" s="298"/>
      <c r="X11" s="363"/>
      <c r="Y11" s="363"/>
      <c r="Z11" s="363"/>
      <c r="AA11" s="363"/>
      <c r="AB11" s="363"/>
    </row>
    <row r="12" ht="16.35" spans="1:28">
      <c r="A12" s="363"/>
      <c r="B12" s="404" t="s">
        <v>65</v>
      </c>
      <c r="C12" s="405"/>
      <c r="D12" s="406">
        <v>15</v>
      </c>
      <c r="E12" s="407" t="s">
        <v>66</v>
      </c>
      <c r="F12" s="408" t="s">
        <v>67</v>
      </c>
      <c r="G12" s="409"/>
      <c r="H12" s="409"/>
      <c r="I12" s="409"/>
      <c r="J12" s="409"/>
      <c r="K12" s="409"/>
      <c r="L12" s="409"/>
      <c r="M12" s="409"/>
      <c r="N12" s="409"/>
      <c r="O12" s="409"/>
      <c r="P12" s="409"/>
      <c r="Q12" s="535"/>
      <c r="R12" s="530"/>
      <c r="S12" s="531"/>
      <c r="T12" s="298"/>
      <c r="U12" s="298"/>
      <c r="V12" s="298"/>
      <c r="W12" s="298"/>
      <c r="X12" s="363"/>
      <c r="Y12" s="363"/>
      <c r="Z12" s="363"/>
      <c r="AA12" s="363"/>
      <c r="AB12" s="363"/>
    </row>
    <row r="13" ht="16.35" spans="1:28">
      <c r="A13" s="363"/>
      <c r="B13" s="410" t="s">
        <v>68</v>
      </c>
      <c r="C13" s="411"/>
      <c r="D13" s="412">
        <v>2</v>
      </c>
      <c r="E13" s="413" t="s">
        <v>69</v>
      </c>
      <c r="F13" s="414" t="s">
        <v>70</v>
      </c>
      <c r="G13" s="415"/>
      <c r="H13" s="416"/>
      <c r="I13" s="406">
        <v>16</v>
      </c>
      <c r="J13" s="480" t="s">
        <v>71</v>
      </c>
      <c r="K13" s="481" t="s">
        <v>72</v>
      </c>
      <c r="L13" s="482"/>
      <c r="M13" s="482"/>
      <c r="N13" s="482"/>
      <c r="O13" s="482"/>
      <c r="P13" s="482"/>
      <c r="Q13" s="536"/>
      <c r="R13" s="530"/>
      <c r="S13" s="531"/>
      <c r="T13" s="298"/>
      <c r="U13" s="298"/>
      <c r="V13" s="298"/>
      <c r="W13" s="298"/>
      <c r="X13" s="363"/>
      <c r="Y13" s="363"/>
      <c r="Z13" s="363"/>
      <c r="AA13" s="363"/>
      <c r="AB13" s="363"/>
    </row>
    <row r="14" ht="16.35" spans="1:28">
      <c r="A14" s="363"/>
      <c r="B14" s="417" t="s">
        <v>73</v>
      </c>
      <c r="C14" s="418"/>
      <c r="D14" s="406">
        <v>40</v>
      </c>
      <c r="E14" s="419" t="s">
        <v>74</v>
      </c>
      <c r="F14" s="420" t="s">
        <v>75</v>
      </c>
      <c r="G14" s="421"/>
      <c r="H14" s="422">
        <v>11</v>
      </c>
      <c r="I14" s="483" t="s">
        <v>76</v>
      </c>
      <c r="J14" s="484"/>
      <c r="K14" s="485" t="s">
        <v>77</v>
      </c>
      <c r="L14" s="486"/>
      <c r="M14" s="487">
        <v>14</v>
      </c>
      <c r="N14" s="488" t="s">
        <v>76</v>
      </c>
      <c r="O14" s="489"/>
      <c r="P14" s="489"/>
      <c r="Q14" s="537"/>
      <c r="R14" s="538"/>
      <c r="S14" s="539"/>
      <c r="T14" s="298"/>
      <c r="U14" s="298"/>
      <c r="V14" s="298"/>
      <c r="W14" s="298"/>
      <c r="X14" s="363"/>
      <c r="Y14" s="363"/>
      <c r="Z14" s="363"/>
      <c r="AA14" s="363"/>
      <c r="AB14" s="363"/>
    </row>
    <row r="15" ht="16.35" spans="1:27">
      <c r="A15" s="363"/>
      <c r="B15" s="423" t="s">
        <v>78</v>
      </c>
      <c r="C15" s="424" t="s">
        <v>79</v>
      </c>
      <c r="D15" s="425" t="s">
        <v>80</v>
      </c>
      <c r="E15" s="425"/>
      <c r="F15" s="426" t="s">
        <v>81</v>
      </c>
      <c r="G15" s="424" t="s">
        <v>79</v>
      </c>
      <c r="H15" s="425" t="s">
        <v>80</v>
      </c>
      <c r="I15" s="425"/>
      <c r="J15" s="426" t="s">
        <v>81</v>
      </c>
      <c r="K15" s="490" t="s">
        <v>82</v>
      </c>
      <c r="L15" s="424" t="s">
        <v>79</v>
      </c>
      <c r="M15" s="425" t="s">
        <v>80</v>
      </c>
      <c r="N15" s="425"/>
      <c r="O15" s="426" t="s">
        <v>81</v>
      </c>
      <c r="P15" s="424" t="s">
        <v>79</v>
      </c>
      <c r="Q15" s="425" t="s">
        <v>80</v>
      </c>
      <c r="R15" s="426" t="s">
        <v>81</v>
      </c>
      <c r="S15" s="298"/>
      <c r="T15" s="298"/>
      <c r="U15" s="298"/>
      <c r="V15" s="298"/>
      <c r="W15" s="363"/>
      <c r="X15" s="363"/>
      <c r="Y15" s="363"/>
      <c r="Z15" s="363"/>
      <c r="AA15" s="363"/>
    </row>
    <row r="16" ht="15.6" spans="1:27">
      <c r="A16" s="363"/>
      <c r="B16" s="427"/>
      <c r="C16" s="428">
        <v>1</v>
      </c>
      <c r="D16" s="429" t="str">
        <f>VLOOKUP(1,数据表!A1:B26,2,0)</f>
        <v>舰装解析0.5h</v>
      </c>
      <c r="E16" s="429"/>
      <c r="F16" s="430" t="str">
        <f>IF(C16&gt;H14,"是","否")</f>
        <v>否</v>
      </c>
      <c r="G16" s="428">
        <v>14</v>
      </c>
      <c r="H16" s="429" t="str">
        <f>VLOOKUP(14,数据表!A1:B26,2,0)</f>
        <v>试验品募集2h蓝</v>
      </c>
      <c r="I16" s="429"/>
      <c r="J16" s="430" t="str">
        <f>IF(G16&gt;H14,"是","否")</f>
        <v>是</v>
      </c>
      <c r="K16" s="491"/>
      <c r="L16" s="428">
        <v>1</v>
      </c>
      <c r="M16" s="429" t="str">
        <f>VLOOKUP(1,数据表!C1:D26,2,0)</f>
        <v>舰装解析0.5h</v>
      </c>
      <c r="N16" s="429"/>
      <c r="O16" s="430" t="str">
        <f>IF(L16&gt;M14,"是","否")</f>
        <v>否</v>
      </c>
      <c r="P16" s="428">
        <v>14</v>
      </c>
      <c r="Q16" s="429" t="str">
        <f>VLOOKUP(14,数据表!C1:D26,2,0)</f>
        <v>彩船定向2.5h</v>
      </c>
      <c r="R16" s="430" t="str">
        <f>IF(P16&gt;M14,"是","否")</f>
        <v>否</v>
      </c>
      <c r="S16" s="298"/>
      <c r="T16" s="298"/>
      <c r="U16" s="298"/>
      <c r="V16" s="298"/>
      <c r="W16" s="363"/>
      <c r="X16" s="363"/>
      <c r="Y16" s="363"/>
      <c r="Z16" s="363"/>
      <c r="AA16" s="363"/>
    </row>
    <row r="17" ht="15.6" spans="1:27">
      <c r="A17" s="363"/>
      <c r="B17" s="427"/>
      <c r="C17" s="431">
        <v>2</v>
      </c>
      <c r="D17" s="432" t="str">
        <f>VLOOKUP(2,数据表!A1:B26,2,0)</f>
        <v>彩船定向0.5h</v>
      </c>
      <c r="E17" s="432"/>
      <c r="F17" s="433" t="str">
        <f>IF(C17&gt;H14,"是","否")</f>
        <v>否</v>
      </c>
      <c r="G17" s="431">
        <v>15</v>
      </c>
      <c r="H17" s="432" t="str">
        <f>VLOOKUP(15,数据表!A1:B26,2,0)</f>
        <v>资金募集2.5h</v>
      </c>
      <c r="I17" s="432"/>
      <c r="J17" s="433" t="str">
        <f>IF(G17&gt;H14,"是","否")</f>
        <v>是</v>
      </c>
      <c r="K17" s="491"/>
      <c r="L17" s="431">
        <v>2</v>
      </c>
      <c r="M17" s="432" t="str">
        <f>VLOOKUP(2,数据表!C1:D26,2,0)</f>
        <v>彩船定向0.5h</v>
      </c>
      <c r="N17" s="432"/>
      <c r="O17" s="433" t="str">
        <f>IF(L17&gt;M14,"是","否")</f>
        <v>否</v>
      </c>
      <c r="P17" s="431">
        <v>15</v>
      </c>
      <c r="Q17" s="432" t="str">
        <f>VLOOKUP(15,数据表!C1:D26,2,0)</f>
        <v>基础研究6h</v>
      </c>
      <c r="R17" s="433" t="str">
        <f>IF(P17&gt;M14,"是","否")</f>
        <v>是</v>
      </c>
      <c r="S17" s="298"/>
      <c r="T17" s="298"/>
      <c r="U17" s="298"/>
      <c r="V17" s="298"/>
      <c r="W17" s="363"/>
      <c r="X17" s="363"/>
      <c r="Y17" s="363"/>
      <c r="Z17" s="363"/>
      <c r="AA17" s="363"/>
    </row>
    <row r="18" ht="15.6" spans="1:27">
      <c r="A18" s="363"/>
      <c r="B18" s="427"/>
      <c r="C18" s="431">
        <v>3</v>
      </c>
      <c r="D18" s="432" t="str">
        <f>VLOOKUP(3,数据表!A1:B26,2,0)</f>
        <v>金船定向0.5h</v>
      </c>
      <c r="E18" s="432"/>
      <c r="F18" s="433" t="str">
        <f>IF(C18&gt;H14,"是","否")</f>
        <v>否</v>
      </c>
      <c r="G18" s="431">
        <v>16</v>
      </c>
      <c r="H18" s="432" t="str">
        <f>VLOOKUP(16,数据表!A1:B26,2,0)</f>
        <v>魔方解析1h</v>
      </c>
      <c r="I18" s="432"/>
      <c r="J18" s="433" t="str">
        <f>IF(G18&gt;H14,"是","否")</f>
        <v>是</v>
      </c>
      <c r="K18" s="491"/>
      <c r="L18" s="431">
        <v>3</v>
      </c>
      <c r="M18" s="432" t="str">
        <f>VLOOKUP(3,数据表!C1:D26,2,0)</f>
        <v>舰装解析4h</v>
      </c>
      <c r="N18" s="432"/>
      <c r="O18" s="433" t="str">
        <f>IF(L18&gt;M14,"是","否")</f>
        <v>否</v>
      </c>
      <c r="P18" s="431">
        <v>16</v>
      </c>
      <c r="Q18" s="432" t="str">
        <f>VLOOKUP(16,数据表!C1:D26,2,0)</f>
        <v>金船定向2.5h</v>
      </c>
      <c r="R18" s="433" t="str">
        <f>IF(P18&gt;M14,"是","否")</f>
        <v>是</v>
      </c>
      <c r="S18" s="298"/>
      <c r="T18" s="298"/>
      <c r="U18" s="298"/>
      <c r="V18" s="298"/>
      <c r="W18" s="363"/>
      <c r="X18" s="363"/>
      <c r="Y18" s="363"/>
      <c r="Z18" s="363"/>
      <c r="AA18" s="363"/>
    </row>
    <row r="19" ht="15.6" spans="1:27">
      <c r="A19" s="363"/>
      <c r="B19" s="427"/>
      <c r="C19" s="431">
        <v>4</v>
      </c>
      <c r="D19" s="432" t="str">
        <f>VLOOKUP(4,数据表!A1:B26,2,0)</f>
        <v>舰装解析4h</v>
      </c>
      <c r="E19" s="432"/>
      <c r="F19" s="433" t="str">
        <f>IF(C19&gt;H14,"是","否")</f>
        <v>否</v>
      </c>
      <c r="G19" s="431">
        <v>17</v>
      </c>
      <c r="H19" s="432" t="str">
        <f>VLOOKUP(17,数据表!A1:B26,2,0)</f>
        <v>彩船定向5h</v>
      </c>
      <c r="I19" s="432"/>
      <c r="J19" s="433" t="str">
        <f>IF(G19&gt;H14,"是","否")</f>
        <v>是</v>
      </c>
      <c r="K19" s="491"/>
      <c r="L19" s="431">
        <v>4</v>
      </c>
      <c r="M19" s="432" t="str">
        <f>VLOOKUP(4,数据表!C1:D26,2,0)</f>
        <v>彩船定向8h</v>
      </c>
      <c r="N19" s="432"/>
      <c r="O19" s="433" t="str">
        <f>IF(L19&gt;M14,"是","否")</f>
        <v>否</v>
      </c>
      <c r="P19" s="431">
        <v>17</v>
      </c>
      <c r="Q19" s="432" t="str">
        <f>VLOOKUP(17,数据表!C1:D26,2,0)</f>
        <v>基础研究12h</v>
      </c>
      <c r="R19" s="433" t="str">
        <f>IF(P19&gt;M14,"是","否")</f>
        <v>是</v>
      </c>
      <c r="S19" s="298"/>
      <c r="T19" s="298"/>
      <c r="U19" s="298"/>
      <c r="V19" s="298"/>
      <c r="W19" s="363"/>
      <c r="X19" s="363"/>
      <c r="Y19" s="363"/>
      <c r="Z19" s="363"/>
      <c r="AA19" s="363"/>
    </row>
    <row r="20" ht="15.6" spans="1:27">
      <c r="A20" s="363"/>
      <c r="B20" s="427"/>
      <c r="C20" s="431">
        <v>5</v>
      </c>
      <c r="D20" s="432" t="str">
        <f>VLOOKUP(5,数据表!A1:B26,2,0)</f>
        <v>舰装解析2h</v>
      </c>
      <c r="E20" s="432"/>
      <c r="F20" s="433" t="str">
        <f>IF(C20&gt;H14,"是","否")</f>
        <v>否</v>
      </c>
      <c r="G20" s="431">
        <v>18</v>
      </c>
      <c r="H20" s="432" t="str">
        <f>VLOOKUP(18,数据表!A1:B26,2,0)</f>
        <v>研究委托3h</v>
      </c>
      <c r="I20" s="432"/>
      <c r="J20" s="433" t="str">
        <f>IF(G20&gt;H14,"是","否")</f>
        <v>是</v>
      </c>
      <c r="K20" s="491"/>
      <c r="L20" s="431">
        <v>5</v>
      </c>
      <c r="M20" s="432" t="str">
        <f>VLOOKUP(5,数据表!C1:D26,2,0)</f>
        <v>金船定向0.5h</v>
      </c>
      <c r="N20" s="432"/>
      <c r="O20" s="433" t="str">
        <f>IF(L20&gt;M14,"是","否")</f>
        <v>否</v>
      </c>
      <c r="P20" s="431">
        <v>18</v>
      </c>
      <c r="Q20" s="432" t="str">
        <f>VLOOKUP(18,数据表!C1:D26,2,0)</f>
        <v>资金募集2.5h</v>
      </c>
      <c r="R20" s="433" t="str">
        <f>IF(P20&gt;M14,"是","否")</f>
        <v>是</v>
      </c>
      <c r="S20" s="298"/>
      <c r="T20" s="298"/>
      <c r="U20" s="298"/>
      <c r="V20" s="298"/>
      <c r="W20" s="363"/>
      <c r="X20" s="363"/>
      <c r="Y20" s="363"/>
      <c r="Z20" s="363"/>
      <c r="AA20" s="363"/>
    </row>
    <row r="21" ht="15.6" spans="1:27">
      <c r="A21" s="363"/>
      <c r="B21" s="427"/>
      <c r="C21" s="431">
        <v>6</v>
      </c>
      <c r="D21" s="432" t="str">
        <f>VLOOKUP(6,数据表!A1:B26,2,0)</f>
        <v>舰装解析1h</v>
      </c>
      <c r="E21" s="432"/>
      <c r="F21" s="433" t="str">
        <f>IF(C21&gt;H14,"是","否")</f>
        <v>否</v>
      </c>
      <c r="G21" s="431">
        <v>19</v>
      </c>
      <c r="H21" s="432" t="str">
        <f>VLOOKUP(19,数据表!A1:B26,2,0)</f>
        <v>金船定向5h</v>
      </c>
      <c r="I21" s="432"/>
      <c r="J21" s="433" t="str">
        <f>IF(G21&gt;H14,"是","否")</f>
        <v>是</v>
      </c>
      <c r="K21" s="491"/>
      <c r="L21" s="431">
        <v>6</v>
      </c>
      <c r="M21" s="432" t="str">
        <f>VLOOKUP(6,数据表!C1:D26,2,0)</f>
        <v>金船定向8h</v>
      </c>
      <c r="N21" s="432"/>
      <c r="O21" s="433" t="str">
        <f>IF(L21&gt;M14,"是","否")</f>
        <v>否</v>
      </c>
      <c r="P21" s="431">
        <v>19</v>
      </c>
      <c r="Q21" s="432" t="str">
        <f>VLOOKUP(19,数据表!C1:D26,2,0)</f>
        <v>舰装解析1h</v>
      </c>
      <c r="R21" s="433" t="str">
        <f>IF(P21&gt;M14,"是","否")</f>
        <v>是</v>
      </c>
      <c r="S21" s="298"/>
      <c r="T21" s="298"/>
      <c r="U21" s="298"/>
      <c r="V21" s="298"/>
      <c r="W21" s="363"/>
      <c r="X21" s="363"/>
      <c r="Y21" s="363"/>
      <c r="Z21" s="363"/>
      <c r="AA21" s="363"/>
    </row>
    <row r="22" ht="15.6" spans="1:27">
      <c r="A22" s="363"/>
      <c r="B22" s="427"/>
      <c r="C22" s="431">
        <v>7</v>
      </c>
      <c r="D22" s="432" t="str">
        <f>VLOOKUP(7,数据表!A1:B26,2,0)</f>
        <v>心智补全0.5h</v>
      </c>
      <c r="E22" s="432"/>
      <c r="F22" s="433" t="str">
        <f>IF(C22&gt;H14,"是","否")</f>
        <v>否</v>
      </c>
      <c r="G22" s="431">
        <v>20</v>
      </c>
      <c r="H22" s="432" t="str">
        <f>VLOOKUP(20,数据表!A1:B26,2,0)</f>
        <v>彩船定向8h</v>
      </c>
      <c r="I22" s="432"/>
      <c r="J22" s="433" t="str">
        <f>IF(G22&gt;H14,"是","否")</f>
        <v>是</v>
      </c>
      <c r="K22" s="491"/>
      <c r="L22" s="431">
        <v>7</v>
      </c>
      <c r="M22" s="432" t="str">
        <f>VLOOKUP(7,数据表!C1:D26,2,0)</f>
        <v>资金募集4h</v>
      </c>
      <c r="N22" s="432"/>
      <c r="O22" s="433" t="str">
        <f>IF(L22&gt;M14,"是","否")</f>
        <v>否</v>
      </c>
      <c r="P22" s="431">
        <v>20</v>
      </c>
      <c r="Q22" s="432" t="str">
        <f>VLOOKUP(20,数据表!C1:D26,2,0)</f>
        <v>试验品募集2h紫</v>
      </c>
      <c r="R22" s="433" t="str">
        <f>IF(P22&gt;M14,"是","否")</f>
        <v>是</v>
      </c>
      <c r="S22" s="298"/>
      <c r="T22" s="298"/>
      <c r="U22" s="298"/>
      <c r="V22" s="298"/>
      <c r="W22" s="363"/>
      <c r="X22" s="363"/>
      <c r="Y22" s="363"/>
      <c r="Z22" s="363"/>
      <c r="AA22" s="363"/>
    </row>
    <row r="23" ht="15.6" spans="1:27">
      <c r="A23" s="363"/>
      <c r="B23" s="427"/>
      <c r="C23" s="431">
        <v>8</v>
      </c>
      <c r="D23" s="432" t="str">
        <f>VLOOKUP(8,数据表!A1:B26,2,0)</f>
        <v>资金募集4h</v>
      </c>
      <c r="E23" s="432"/>
      <c r="F23" s="433" t="str">
        <f>IF(C23&gt;H14,"是","否")</f>
        <v>否</v>
      </c>
      <c r="G23" s="431">
        <v>21</v>
      </c>
      <c r="H23" s="432" t="str">
        <f>VLOOKUP(21,数据表!A1:B26,2,0)</f>
        <v>魔方解析2h</v>
      </c>
      <c r="I23" s="432"/>
      <c r="J23" s="433" t="str">
        <f>IF(G23&gt;H14,"是","否")</f>
        <v>是</v>
      </c>
      <c r="K23" s="491"/>
      <c r="L23" s="431">
        <v>8</v>
      </c>
      <c r="M23" s="432" t="str">
        <f>VLOOKUP(8,数据表!C1:D26,2,0)</f>
        <v>金数据收集4h</v>
      </c>
      <c r="N23" s="432"/>
      <c r="O23" s="433" t="str">
        <f>IF(L23&gt;M14,"是","否")</f>
        <v>否</v>
      </c>
      <c r="P23" s="431">
        <v>21</v>
      </c>
      <c r="Q23" s="432" t="str">
        <f>VLOOKUP(21,数据表!C1:D26,2,0)</f>
        <v>资金募集1.5h</v>
      </c>
      <c r="R23" s="433" t="str">
        <f>IF(P23&gt;M14,"是","否")</f>
        <v>是</v>
      </c>
      <c r="S23" s="298"/>
      <c r="T23" s="298"/>
      <c r="U23" s="298"/>
      <c r="V23" s="298"/>
      <c r="W23" s="363"/>
      <c r="X23" s="363"/>
      <c r="Y23" s="363"/>
      <c r="Z23" s="363"/>
      <c r="AA23" s="363"/>
    </row>
    <row r="24" ht="15.6" spans="1:27">
      <c r="A24" s="363"/>
      <c r="B24" s="427"/>
      <c r="C24" s="431">
        <v>9</v>
      </c>
      <c r="D24" s="432" t="str">
        <f>VLOOKUP(9,数据表!A1:B26,2,0)</f>
        <v>资金募集1.5h</v>
      </c>
      <c r="E24" s="432"/>
      <c r="F24" s="433" t="str">
        <f>IF(C24&gt;H14,"是","否")</f>
        <v>否</v>
      </c>
      <c r="G24" s="431">
        <v>22</v>
      </c>
      <c r="H24" s="432" t="str">
        <f>VLOOKUP(22,数据表!A1:B26,2,0)</f>
        <v>金船定向8h</v>
      </c>
      <c r="I24" s="432"/>
      <c r="J24" s="433" t="str">
        <f>IF(G24&gt;H14,"是","否")</f>
        <v>是</v>
      </c>
      <c r="K24" s="491"/>
      <c r="L24" s="431">
        <v>9</v>
      </c>
      <c r="M24" s="432" t="str">
        <f>VLOOKUP(9,数据表!C1:D26,2,0)</f>
        <v>彩船定向5h</v>
      </c>
      <c r="N24" s="432"/>
      <c r="O24" s="433" t="str">
        <f>IF(L24&gt;M14,"是","否")</f>
        <v>否</v>
      </c>
      <c r="P24" s="431">
        <v>22</v>
      </c>
      <c r="Q24" s="432" t="str">
        <f>VLOOKUP(22,数据表!C1:D26,2,0)</f>
        <v>试验品募集2h蓝</v>
      </c>
      <c r="R24" s="433" t="str">
        <f>IF(P24&gt;M14,"是","否")</f>
        <v>是</v>
      </c>
      <c r="S24" s="298"/>
      <c r="T24" s="298"/>
      <c r="U24" s="298"/>
      <c r="V24" s="298"/>
      <c r="W24" s="363"/>
      <c r="X24" s="363"/>
      <c r="Y24" s="363"/>
      <c r="Z24" s="363"/>
      <c r="AA24" s="363"/>
    </row>
    <row r="25" ht="15.6" spans="1:27">
      <c r="A25" s="363"/>
      <c r="B25" s="427"/>
      <c r="C25" s="431">
        <v>10</v>
      </c>
      <c r="D25" s="432" t="str">
        <f>VLOOKUP(10,数据表!A1:B26,2,0)</f>
        <v>彩船定向2.5h</v>
      </c>
      <c r="E25" s="432"/>
      <c r="F25" s="433" t="str">
        <f>IF(C25&gt;H14,"是","否")</f>
        <v>否</v>
      </c>
      <c r="G25" s="431">
        <v>23</v>
      </c>
      <c r="H25" s="432" t="str">
        <f>VLOOKUP(23,数据表!A1:B26,2,0)</f>
        <v>基础研究6h</v>
      </c>
      <c r="I25" s="432"/>
      <c r="J25" s="433" t="str">
        <f>IF(G25&gt;H14,"是","否")</f>
        <v>是</v>
      </c>
      <c r="K25" s="491"/>
      <c r="L25" s="431">
        <v>10</v>
      </c>
      <c r="M25" s="432" t="str">
        <f>VLOOKUP(10,数据表!C1:D26,2,0)</f>
        <v>基础研究8h</v>
      </c>
      <c r="N25" s="432"/>
      <c r="O25" s="433" t="str">
        <f>IF(L25&gt;M14,"是","否")</f>
        <v>否</v>
      </c>
      <c r="P25" s="431">
        <v>23</v>
      </c>
      <c r="Q25" s="432" t="str">
        <f>VLOOKUP(23,数据表!C1:D26,2,0)</f>
        <v>研究委托3h</v>
      </c>
      <c r="R25" s="433" t="str">
        <f>IF(P25&gt;M14,"是","否")</f>
        <v>是</v>
      </c>
      <c r="S25" s="298"/>
      <c r="T25" s="298"/>
      <c r="U25" s="298"/>
      <c r="V25" s="298"/>
      <c r="W25" s="363"/>
      <c r="X25" s="363"/>
      <c r="Y25" s="363"/>
      <c r="Z25" s="363"/>
      <c r="AA25" s="363"/>
    </row>
    <row r="26" ht="15.6" spans="1:27">
      <c r="A26" s="363"/>
      <c r="B26" s="427"/>
      <c r="C26" s="431">
        <v>11</v>
      </c>
      <c r="D26" s="432" t="str">
        <f>VLOOKUP(11,数据表!A1:B26,2,0)</f>
        <v>金船定向2.5h</v>
      </c>
      <c r="E26" s="432"/>
      <c r="F26" s="433" t="str">
        <f>IF(C26&gt;H14,"是","否")</f>
        <v>否</v>
      </c>
      <c r="G26" s="431">
        <v>24</v>
      </c>
      <c r="H26" s="432" t="str">
        <f>VLOOKUP(24,数据表!A1:B26,2,0)</f>
        <v>基础研究8h</v>
      </c>
      <c r="I26" s="432"/>
      <c r="J26" s="433" t="str">
        <f>IF(G26&gt;H14,"是","否")</f>
        <v>是</v>
      </c>
      <c r="K26" s="491"/>
      <c r="L26" s="431">
        <v>11</v>
      </c>
      <c r="M26" s="432" t="str">
        <f>VLOOKUP(11,数据表!C1:D26,2,0)</f>
        <v>金船定向5h</v>
      </c>
      <c r="N26" s="432"/>
      <c r="O26" s="433" t="str">
        <f>IF(L26&gt;M14,"是","否")</f>
        <v>否</v>
      </c>
      <c r="P26" s="431">
        <v>24</v>
      </c>
      <c r="Q26" s="432" t="str">
        <f>VLOOKUP(24,数据表!C1:D26,2,0)</f>
        <v>魔方解析1h</v>
      </c>
      <c r="R26" s="433" t="str">
        <f>IF(P26&gt;M14,"是","否")</f>
        <v>是</v>
      </c>
      <c r="S26" s="298"/>
      <c r="T26" s="298"/>
      <c r="U26" s="298"/>
      <c r="V26" s="298"/>
      <c r="W26" s="363"/>
      <c r="X26" s="363"/>
      <c r="Y26" s="363"/>
      <c r="Z26" s="363"/>
      <c r="AA26" s="363"/>
    </row>
    <row r="27" ht="15.6" spans="1:27">
      <c r="A27" s="363"/>
      <c r="B27" s="427"/>
      <c r="C27" s="431">
        <v>12</v>
      </c>
      <c r="D27" s="432" t="str">
        <f>VLOOKUP(12,数据表!A1:B26,2,0)</f>
        <v>试验品募集2h紫</v>
      </c>
      <c r="E27" s="432"/>
      <c r="F27" s="433" t="str">
        <f>IF(C27&gt;H14,"是","否")</f>
        <v>是</v>
      </c>
      <c r="G27" s="431">
        <v>25</v>
      </c>
      <c r="H27" s="432" t="str">
        <f>VLOOKUP(25,数据表!A1:B26,2,0)</f>
        <v>魔方解析4h</v>
      </c>
      <c r="I27" s="432"/>
      <c r="J27" s="433" t="str">
        <f>IF(G27&gt;H14,"是","否")</f>
        <v>是</v>
      </c>
      <c r="K27" s="491"/>
      <c r="L27" s="431">
        <v>12</v>
      </c>
      <c r="M27" s="432" t="str">
        <f>VLOOKUP(12,数据表!C1:D26,2,0)</f>
        <v>舰装解析2h</v>
      </c>
      <c r="N27" s="432"/>
      <c r="O27" s="433" t="str">
        <f>IF(L27&gt;M14,"是","否")</f>
        <v>否</v>
      </c>
      <c r="P27" s="431">
        <v>25</v>
      </c>
      <c r="Q27" s="432" t="str">
        <f>VLOOKUP(25,数据表!C1:D26,2,0)</f>
        <v>魔方解析2h</v>
      </c>
      <c r="R27" s="433" t="str">
        <f>IF(P27&gt;M14,"是","否")</f>
        <v>是</v>
      </c>
      <c r="S27" s="298"/>
      <c r="T27" s="298"/>
      <c r="U27" s="298"/>
      <c r="V27" s="298"/>
      <c r="W27" s="363"/>
      <c r="X27" s="363"/>
      <c r="Y27" s="363"/>
      <c r="Z27" s="363"/>
      <c r="AA27" s="363"/>
    </row>
    <row r="28" ht="16.35" spans="1:27">
      <c r="A28" s="363"/>
      <c r="B28" s="434"/>
      <c r="C28" s="435">
        <v>13</v>
      </c>
      <c r="D28" s="436" t="str">
        <f>VLOOKUP(13,数据表!A1:B26,2,0)</f>
        <v>金数据收集4h</v>
      </c>
      <c r="E28" s="436"/>
      <c r="F28" s="437" t="str">
        <f>IF(C28&gt;H14,"是","否")</f>
        <v>是</v>
      </c>
      <c r="G28" s="435">
        <v>26</v>
      </c>
      <c r="H28" s="436" t="str">
        <f>VLOOKUP(26,数据表!A1:B26,2,0)</f>
        <v>基础研究12h</v>
      </c>
      <c r="I28" s="436"/>
      <c r="J28" s="437" t="str">
        <f>IF(G28&gt;H14,"是","否")</f>
        <v>是</v>
      </c>
      <c r="K28" s="492"/>
      <c r="L28" s="435">
        <v>13</v>
      </c>
      <c r="M28" s="436" t="str">
        <f>VLOOKUP(13,数据表!C1:D26,2,0)</f>
        <v>心智补全0.5h</v>
      </c>
      <c r="N28" s="493"/>
      <c r="O28" s="494" t="str">
        <f>IF(L28&gt;M14,"是","否")</f>
        <v>否</v>
      </c>
      <c r="P28" s="495">
        <v>26</v>
      </c>
      <c r="Q28" s="436" t="str">
        <f>VLOOKUP(26,数据表!C1:D26,2,0)</f>
        <v>魔方解析4h</v>
      </c>
      <c r="R28" s="437" t="str">
        <f>IF(P28&gt;M14,"是","否")</f>
        <v>是</v>
      </c>
      <c r="S28" s="298"/>
      <c r="T28" s="298"/>
      <c r="U28" s="298"/>
      <c r="V28" s="298"/>
      <c r="W28" s="363"/>
      <c r="X28" s="363"/>
      <c r="Y28" s="363"/>
      <c r="Z28" s="363"/>
      <c r="AA28" s="363"/>
    </row>
    <row r="29" ht="17.4" spans="1:25">
      <c r="A29" s="363"/>
      <c r="B29" s="438" t="s">
        <v>83</v>
      </c>
      <c r="C29" s="439"/>
      <c r="D29" s="440">
        <f>I13</f>
        <v>16</v>
      </c>
      <c r="E29" s="441"/>
      <c r="F29" s="442" t="s">
        <v>84</v>
      </c>
      <c r="G29" s="443"/>
      <c r="H29" s="444">
        <f>白天模拟!U60+夜晚模拟!U60</f>
        <v>0.698683101509185</v>
      </c>
      <c r="I29" s="496"/>
      <c r="J29" s="497" t="s">
        <v>85</v>
      </c>
      <c r="K29" s="498"/>
      <c r="L29" s="498"/>
      <c r="M29" s="499"/>
      <c r="N29" s="443" t="s">
        <v>86</v>
      </c>
      <c r="O29" s="439"/>
      <c r="P29" s="500">
        <f>白天模拟!V28</f>
        <v>0.228675703976161</v>
      </c>
      <c r="Q29" s="540" t="str">
        <f>VLOOKUP(1,数据表!C38:D44,2,0)</f>
        <v>激进策略</v>
      </c>
      <c r="R29" s="541"/>
      <c r="S29" s="542"/>
      <c r="T29" s="542"/>
      <c r="U29" s="298"/>
      <c r="V29" s="363"/>
      <c r="W29" s="363"/>
      <c r="X29" s="363"/>
      <c r="Y29" s="363"/>
    </row>
    <row r="30" ht="18.15" spans="1:25">
      <c r="A30" s="363"/>
      <c r="B30" s="445" t="s">
        <v>87</v>
      </c>
      <c r="C30" s="446"/>
      <c r="D30" s="447">
        <f>1+白天模拟!O60</f>
        <v>8.82453603577596</v>
      </c>
      <c r="E30" s="448"/>
      <c r="F30" s="449" t="s">
        <v>88</v>
      </c>
      <c r="G30" s="450"/>
      <c r="H30" s="451">
        <f>白天模拟!T60+夜晚模拟!T60</f>
        <v>2.40989157158313</v>
      </c>
      <c r="I30" s="501"/>
      <c r="J30" s="502" t="s">
        <v>89</v>
      </c>
      <c r="K30" s="503"/>
      <c r="L30" s="504">
        <f ca="1">H29*数据表!B49</f>
        <v>37.692336004402</v>
      </c>
      <c r="M30" s="505"/>
      <c r="N30" s="506" t="s">
        <v>90</v>
      </c>
      <c r="O30" s="455"/>
      <c r="P30" s="507">
        <f>(1-白天模拟!T28)</f>
        <v>0.574514559233975</v>
      </c>
      <c r="Q30" s="543"/>
      <c r="R30" s="544"/>
      <c r="S30" s="542"/>
      <c r="T30" s="542"/>
      <c r="U30" s="298"/>
      <c r="V30" s="363"/>
      <c r="W30" s="363"/>
      <c r="X30" s="363"/>
      <c r="Y30" s="363"/>
    </row>
    <row r="31" ht="15.6" spans="1:25">
      <c r="A31" s="363"/>
      <c r="B31" s="445" t="s">
        <v>91</v>
      </c>
      <c r="C31" s="446"/>
      <c r="D31" s="452">
        <f>白天模拟!AC60+夜晚模拟!AC60</f>
        <v>0.850399384193497</v>
      </c>
      <c r="E31" s="197"/>
      <c r="F31" s="445" t="s">
        <v>92</v>
      </c>
      <c r="G31" s="446"/>
      <c r="H31" s="453">
        <f>白天模拟!S60+夜晚模拟!S60</f>
        <v>6.00963642142808</v>
      </c>
      <c r="I31" s="451"/>
      <c r="J31" s="502" t="s">
        <v>93</v>
      </c>
      <c r="K31" s="503"/>
      <c r="L31" s="504">
        <f ca="1">H30*数据表!B49</f>
        <v>130.008071834114</v>
      </c>
      <c r="M31" s="505"/>
      <c r="N31" s="508" t="s">
        <v>94</v>
      </c>
      <c r="O31" s="509"/>
      <c r="P31" s="509"/>
      <c r="Q31" s="545">
        <f>1-(1-白天模拟!T28)*(1-夜晚模拟!T28)</f>
        <v>0.86783544247404</v>
      </c>
      <c r="R31" s="298"/>
      <c r="S31" s="298"/>
      <c r="T31" s="298"/>
      <c r="U31" s="363"/>
      <c r="V31" s="363"/>
      <c r="W31" s="363"/>
      <c r="X31" s="363"/>
      <c r="Y31" s="363"/>
    </row>
    <row r="32" ht="16.35" spans="1:28">
      <c r="A32" s="363"/>
      <c r="B32" s="454" t="s">
        <v>95</v>
      </c>
      <c r="C32" s="455"/>
      <c r="D32" s="456">
        <f>白天模拟!AB60+夜晚模拟!AB60</f>
        <v>15263.0524931369</v>
      </c>
      <c r="E32" s="457"/>
      <c r="F32" s="458" t="s">
        <v>96</v>
      </c>
      <c r="G32" s="459"/>
      <c r="H32" s="460">
        <f>白天模拟!W60+夜晚模拟!W60</f>
        <v>4.73885331312199</v>
      </c>
      <c r="I32" s="510"/>
      <c r="J32" s="511" t="s">
        <v>97</v>
      </c>
      <c r="K32" s="512"/>
      <c r="L32" s="513">
        <f ca="1">H31*数据表!B49</f>
        <v>324.205973740416</v>
      </c>
      <c r="M32" s="514"/>
      <c r="N32" s="515" t="s">
        <v>98</v>
      </c>
      <c r="O32" s="516"/>
      <c r="P32" s="516"/>
      <c r="Q32" s="546">
        <f>夜晚模拟!V28</f>
        <v>0.383357370947197</v>
      </c>
      <c r="R32" s="547"/>
      <c r="S32" s="547"/>
      <c r="T32" s="547"/>
      <c r="U32" s="298"/>
      <c r="V32" s="298"/>
      <c r="W32" s="298"/>
      <c r="X32" s="363"/>
      <c r="Y32" s="363"/>
      <c r="Z32" s="363"/>
      <c r="AA32" s="363"/>
      <c r="AB32" s="363"/>
    </row>
    <row r="33" ht="23" customHeight="1" spans="1:28">
      <c r="A33" s="363"/>
      <c r="B33" s="461" t="s">
        <v>99</v>
      </c>
      <c r="C33" s="462"/>
      <c r="D33" s="462"/>
      <c r="E33" s="462"/>
      <c r="F33" s="462"/>
      <c r="G33" s="462"/>
      <c r="H33" s="462"/>
      <c r="I33" s="461" t="s">
        <v>100</v>
      </c>
      <c r="J33" s="517"/>
      <c r="K33" s="517"/>
      <c r="L33" s="517"/>
      <c r="M33" s="517"/>
      <c r="N33" s="518"/>
      <c r="O33" s="518"/>
      <c r="P33" s="519"/>
      <c r="Q33" s="548"/>
      <c r="R33" s="548"/>
      <c r="S33" s="548"/>
      <c r="T33" s="548"/>
      <c r="U33" s="363"/>
      <c r="V33" s="363"/>
      <c r="W33" s="363"/>
      <c r="X33" s="363"/>
      <c r="Y33" s="363"/>
      <c r="Z33" s="363"/>
      <c r="AA33" s="363"/>
      <c r="AB33" s="363"/>
    </row>
    <row r="34" ht="15.6" spans="1:28">
      <c r="A34" s="373"/>
      <c r="B34" s="463"/>
      <c r="C34" s="373"/>
      <c r="D34" s="373"/>
      <c r="E34" s="373"/>
      <c r="F34" s="373"/>
      <c r="G34" s="373"/>
      <c r="H34" s="373"/>
      <c r="I34" s="463"/>
      <c r="J34" s="373"/>
      <c r="K34" s="373"/>
      <c r="L34" s="373"/>
      <c r="M34" s="373"/>
      <c r="N34" s="373"/>
      <c r="O34" s="373"/>
      <c r="P34" s="470"/>
      <c r="Q34" s="363"/>
      <c r="R34" s="363"/>
      <c r="S34" s="363"/>
      <c r="T34" s="363"/>
      <c r="U34" s="363"/>
      <c r="V34" s="363"/>
      <c r="W34" s="363"/>
      <c r="X34" s="363"/>
      <c r="Y34" s="363"/>
      <c r="Z34" s="363"/>
      <c r="AA34" s="363"/>
      <c r="AB34" s="363"/>
    </row>
    <row r="35" ht="15.6" spans="1:28">
      <c r="A35" s="373"/>
      <c r="B35" s="463"/>
      <c r="C35" s="373"/>
      <c r="D35" s="373"/>
      <c r="E35" s="373"/>
      <c r="F35" s="373"/>
      <c r="G35" s="373"/>
      <c r="H35" s="373"/>
      <c r="I35" s="463"/>
      <c r="J35" s="373"/>
      <c r="K35" s="373"/>
      <c r="L35" s="373"/>
      <c r="M35" s="373"/>
      <c r="N35" s="373"/>
      <c r="O35" s="373"/>
      <c r="P35" s="470"/>
      <c r="Q35" s="363"/>
      <c r="R35" s="363"/>
      <c r="S35" s="363"/>
      <c r="T35" s="363"/>
      <c r="U35" s="363"/>
      <c r="V35" s="363"/>
      <c r="W35" s="363"/>
      <c r="X35" s="363"/>
      <c r="Y35" s="363"/>
      <c r="Z35" s="363"/>
      <c r="AA35" s="363"/>
      <c r="AB35" s="363"/>
    </row>
    <row r="36" ht="15.6" spans="1:28">
      <c r="A36" s="373"/>
      <c r="B36" s="463"/>
      <c r="C36" s="373"/>
      <c r="D36" s="373"/>
      <c r="E36" s="373"/>
      <c r="F36" s="373"/>
      <c r="G36" s="373"/>
      <c r="H36" s="373"/>
      <c r="I36" s="463"/>
      <c r="J36" s="373"/>
      <c r="K36" s="373"/>
      <c r="L36" s="373"/>
      <c r="M36" s="373"/>
      <c r="N36" s="373"/>
      <c r="O36" s="373"/>
      <c r="P36" s="470"/>
      <c r="Q36" s="363"/>
      <c r="R36" s="363"/>
      <c r="S36" s="363"/>
      <c r="T36" s="363"/>
      <c r="U36" s="363"/>
      <c r="V36" s="363"/>
      <c r="W36" s="363"/>
      <c r="X36" s="363"/>
      <c r="Y36" s="363"/>
      <c r="Z36" s="363"/>
      <c r="AA36" s="363"/>
      <c r="AB36" s="363"/>
    </row>
    <row r="37" ht="15.6" spans="1:28">
      <c r="A37" s="373"/>
      <c r="B37" s="463"/>
      <c r="C37" s="373"/>
      <c r="D37" s="373"/>
      <c r="E37" s="373"/>
      <c r="F37" s="373"/>
      <c r="G37" s="373"/>
      <c r="H37" s="373"/>
      <c r="I37" s="463"/>
      <c r="J37" s="373"/>
      <c r="K37" s="373"/>
      <c r="L37" s="373"/>
      <c r="M37" s="373"/>
      <c r="N37" s="373"/>
      <c r="O37" s="373"/>
      <c r="P37" s="470"/>
      <c r="Q37" s="363"/>
      <c r="R37" s="363"/>
      <c r="S37" s="363"/>
      <c r="T37" s="363"/>
      <c r="U37" s="363"/>
      <c r="V37" s="363"/>
      <c r="W37" s="363"/>
      <c r="X37" s="363"/>
      <c r="Y37" s="363"/>
      <c r="Z37" s="363"/>
      <c r="AA37" s="363"/>
      <c r="AB37" s="363"/>
    </row>
    <row r="38" ht="15.6" spans="1:28">
      <c r="A38" s="373"/>
      <c r="B38" s="463"/>
      <c r="C38" s="373"/>
      <c r="D38" s="373"/>
      <c r="E38" s="373"/>
      <c r="F38" s="373"/>
      <c r="G38" s="373"/>
      <c r="H38" s="373"/>
      <c r="I38" s="463"/>
      <c r="J38" s="373"/>
      <c r="K38" s="373"/>
      <c r="L38" s="373"/>
      <c r="M38" s="373"/>
      <c r="N38" s="373"/>
      <c r="O38" s="373"/>
      <c r="P38" s="470"/>
      <c r="Q38" s="363"/>
      <c r="R38" s="363"/>
      <c r="S38" s="363"/>
      <c r="T38" s="363"/>
      <c r="U38" s="363"/>
      <c r="V38" s="363"/>
      <c r="W38" s="363"/>
      <c r="X38" s="363"/>
      <c r="Y38" s="363"/>
      <c r="Z38" s="363"/>
      <c r="AA38" s="363"/>
      <c r="AB38" s="363"/>
    </row>
    <row r="39" ht="15.6" spans="1:28">
      <c r="A39" s="373"/>
      <c r="B39" s="463"/>
      <c r="C39" s="373"/>
      <c r="D39" s="373"/>
      <c r="E39" s="373"/>
      <c r="F39" s="373"/>
      <c r="G39" s="373"/>
      <c r="H39" s="373"/>
      <c r="I39" s="463"/>
      <c r="J39" s="373"/>
      <c r="K39" s="373"/>
      <c r="L39" s="373"/>
      <c r="M39" s="373"/>
      <c r="N39" s="373"/>
      <c r="O39" s="373"/>
      <c r="P39" s="470"/>
      <c r="Q39" s="363"/>
      <c r="R39" s="363"/>
      <c r="S39" s="363"/>
      <c r="T39" s="363"/>
      <c r="U39" s="363"/>
      <c r="V39" s="363"/>
      <c r="W39" s="363"/>
      <c r="X39" s="363"/>
      <c r="Y39" s="363"/>
      <c r="Z39" s="363"/>
      <c r="AA39" s="363"/>
      <c r="AB39" s="363"/>
    </row>
    <row r="40" ht="15.6" spans="1:28">
      <c r="A40" s="373"/>
      <c r="B40" s="463"/>
      <c r="C40" s="373"/>
      <c r="D40" s="373"/>
      <c r="E40" s="373"/>
      <c r="F40" s="373"/>
      <c r="G40" s="373"/>
      <c r="H40" s="373"/>
      <c r="I40" s="463"/>
      <c r="J40" s="373"/>
      <c r="K40" s="373"/>
      <c r="L40" s="373"/>
      <c r="M40" s="373"/>
      <c r="N40" s="373"/>
      <c r="O40" s="373"/>
      <c r="P40" s="470"/>
      <c r="Q40" s="363"/>
      <c r="R40" s="363"/>
      <c r="S40" s="363"/>
      <c r="T40" s="363"/>
      <c r="U40" s="363"/>
      <c r="V40" s="363"/>
      <c r="W40" s="363"/>
      <c r="X40" s="363"/>
      <c r="Y40" s="363"/>
      <c r="Z40" s="363"/>
      <c r="AA40" s="363"/>
      <c r="AB40" s="363"/>
    </row>
    <row r="41" ht="15.6" spans="1:28">
      <c r="A41" s="373"/>
      <c r="B41" s="463"/>
      <c r="C41" s="373"/>
      <c r="D41" s="373"/>
      <c r="E41" s="373"/>
      <c r="F41" s="373"/>
      <c r="G41" s="373"/>
      <c r="H41" s="373"/>
      <c r="I41" s="463"/>
      <c r="J41" s="373"/>
      <c r="K41" s="373"/>
      <c r="L41" s="373"/>
      <c r="M41" s="373"/>
      <c r="N41" s="373"/>
      <c r="O41" s="373"/>
      <c r="P41" s="470"/>
      <c r="Q41" s="363"/>
      <c r="R41" s="363"/>
      <c r="S41" s="363"/>
      <c r="T41" s="363"/>
      <c r="U41" s="363"/>
      <c r="V41" s="363"/>
      <c r="W41" s="363"/>
      <c r="X41" s="363"/>
      <c r="Y41" s="363"/>
      <c r="Z41" s="363"/>
      <c r="AA41" s="363"/>
      <c r="AB41" s="363"/>
    </row>
    <row r="42" ht="15.6" spans="1:28">
      <c r="A42" s="373"/>
      <c r="B42" s="463"/>
      <c r="C42" s="373"/>
      <c r="D42" s="373"/>
      <c r="E42" s="373"/>
      <c r="F42" s="373"/>
      <c r="G42" s="373"/>
      <c r="H42" s="373"/>
      <c r="I42" s="463"/>
      <c r="J42" s="373"/>
      <c r="K42" s="373"/>
      <c r="L42" s="373"/>
      <c r="M42" s="373"/>
      <c r="N42" s="373"/>
      <c r="O42" s="373"/>
      <c r="P42" s="470"/>
      <c r="Q42" s="363"/>
      <c r="R42" s="363"/>
      <c r="S42" s="363"/>
      <c r="T42" s="363"/>
      <c r="U42" s="363"/>
      <c r="V42" s="363"/>
      <c r="W42" s="363"/>
      <c r="X42" s="363"/>
      <c r="Y42" s="363"/>
      <c r="Z42" s="363"/>
      <c r="AA42" s="363"/>
      <c r="AB42" s="363"/>
    </row>
    <row r="43" ht="15.6" spans="1:28">
      <c r="A43" s="373"/>
      <c r="B43" s="463"/>
      <c r="C43" s="373"/>
      <c r="D43" s="373"/>
      <c r="E43" s="373"/>
      <c r="F43" s="373"/>
      <c r="G43" s="373"/>
      <c r="H43" s="373"/>
      <c r="I43" s="463"/>
      <c r="J43" s="373"/>
      <c r="K43" s="373"/>
      <c r="L43" s="373"/>
      <c r="M43" s="373"/>
      <c r="N43" s="373"/>
      <c r="O43" s="373"/>
      <c r="P43" s="470"/>
      <c r="Q43" s="363"/>
      <c r="R43" s="363"/>
      <c r="S43" s="363"/>
      <c r="T43" s="363"/>
      <c r="U43" s="363"/>
      <c r="V43" s="363"/>
      <c r="W43" s="363"/>
      <c r="X43" s="363"/>
      <c r="Y43" s="363"/>
      <c r="Z43" s="363"/>
      <c r="AA43" s="363"/>
      <c r="AB43" s="363"/>
    </row>
    <row r="44" ht="15.6" spans="1:28">
      <c r="A44" s="373"/>
      <c r="B44" s="463"/>
      <c r="C44" s="373"/>
      <c r="D44" s="373"/>
      <c r="E44" s="373"/>
      <c r="F44" s="373"/>
      <c r="G44" s="373"/>
      <c r="H44" s="373"/>
      <c r="I44" s="463"/>
      <c r="J44" s="373"/>
      <c r="K44" s="373"/>
      <c r="L44" s="373"/>
      <c r="M44" s="373"/>
      <c r="N44" s="373"/>
      <c r="O44" s="373"/>
      <c r="P44" s="470"/>
      <c r="Q44" s="363"/>
      <c r="R44" s="363"/>
      <c r="S44" s="363"/>
      <c r="T44" s="363"/>
      <c r="U44" s="363"/>
      <c r="V44" s="363"/>
      <c r="W44" s="363"/>
      <c r="X44" s="363"/>
      <c r="Y44" s="363"/>
      <c r="Z44" s="363"/>
      <c r="AA44" s="363"/>
      <c r="AB44" s="363"/>
    </row>
    <row r="45" ht="15.6" spans="1:28">
      <c r="A45" s="373"/>
      <c r="B45" s="463"/>
      <c r="C45" s="373"/>
      <c r="D45" s="373"/>
      <c r="E45" s="373"/>
      <c r="F45" s="373"/>
      <c r="G45" s="373"/>
      <c r="H45" s="373"/>
      <c r="I45" s="463"/>
      <c r="J45" s="373"/>
      <c r="K45" s="373"/>
      <c r="L45" s="373"/>
      <c r="M45" s="373"/>
      <c r="N45" s="373"/>
      <c r="O45" s="373"/>
      <c r="P45" s="470"/>
      <c r="Q45" s="363"/>
      <c r="R45" s="363"/>
      <c r="S45" s="363"/>
      <c r="T45" s="363"/>
      <c r="U45" s="363"/>
      <c r="V45" s="363"/>
      <c r="W45" s="363"/>
      <c r="X45" s="363"/>
      <c r="Y45" s="363"/>
      <c r="Z45" s="363"/>
      <c r="AA45" s="363"/>
      <c r="AB45" s="363"/>
    </row>
    <row r="46" ht="15.6" spans="1:28">
      <c r="A46" s="373"/>
      <c r="B46" s="463"/>
      <c r="C46" s="373"/>
      <c r="D46" s="373"/>
      <c r="E46" s="373"/>
      <c r="F46" s="373"/>
      <c r="G46" s="373"/>
      <c r="H46" s="373"/>
      <c r="I46" s="463"/>
      <c r="J46" s="373"/>
      <c r="K46" s="373"/>
      <c r="L46" s="373"/>
      <c r="M46" s="373"/>
      <c r="N46" s="373"/>
      <c r="O46" s="373"/>
      <c r="P46" s="470"/>
      <c r="Q46" s="363"/>
      <c r="R46" s="363"/>
      <c r="S46" s="363"/>
      <c r="T46" s="363"/>
      <c r="U46" s="363"/>
      <c r="V46" s="363"/>
      <c r="W46" s="363"/>
      <c r="X46" s="363"/>
      <c r="Y46" s="363"/>
      <c r="Z46" s="363"/>
      <c r="AA46" s="363"/>
      <c r="AB46" s="363"/>
    </row>
    <row r="47" ht="21" customHeight="1" spans="1:28">
      <c r="A47" s="373"/>
      <c r="B47" s="463"/>
      <c r="C47" s="373"/>
      <c r="D47" s="373"/>
      <c r="E47" s="373"/>
      <c r="F47" s="373"/>
      <c r="G47" s="373"/>
      <c r="H47" s="373"/>
      <c r="I47" s="463"/>
      <c r="J47" s="373"/>
      <c r="K47" s="373"/>
      <c r="L47" s="373"/>
      <c r="M47" s="373"/>
      <c r="N47" s="373"/>
      <c r="O47" s="373"/>
      <c r="P47" s="470"/>
      <c r="Q47" s="363"/>
      <c r="R47" s="363"/>
      <c r="S47" s="363"/>
      <c r="T47" s="363"/>
      <c r="U47" s="363"/>
      <c r="V47" s="363"/>
      <c r="W47" s="363"/>
      <c r="X47" s="363"/>
      <c r="Y47" s="363"/>
      <c r="Z47" s="363"/>
      <c r="AA47" s="363"/>
      <c r="AB47" s="363"/>
    </row>
    <row r="48" ht="16.35" spans="1:28">
      <c r="A48" s="363"/>
      <c r="B48" s="464"/>
      <c r="C48" s="465"/>
      <c r="D48" s="465"/>
      <c r="E48" s="465"/>
      <c r="F48" s="465"/>
      <c r="G48" s="465"/>
      <c r="H48" s="465"/>
      <c r="I48" s="464"/>
      <c r="J48" s="465"/>
      <c r="K48" s="465"/>
      <c r="L48" s="465"/>
      <c r="M48" s="465"/>
      <c r="N48" s="465"/>
      <c r="O48" s="465"/>
      <c r="P48" s="520"/>
      <c r="Q48" s="363"/>
      <c r="R48" s="363"/>
      <c r="S48" s="363"/>
      <c r="T48" s="363"/>
      <c r="U48" s="363"/>
      <c r="V48" s="363"/>
      <c r="W48" s="363"/>
      <c r="X48" s="363"/>
      <c r="Y48" s="363"/>
      <c r="Z48" s="363"/>
      <c r="AA48" s="363"/>
      <c r="AB48" s="363"/>
    </row>
    <row r="49" ht="17.4" spans="1:28">
      <c r="A49" s="363"/>
      <c r="B49" s="328" t="s">
        <v>101</v>
      </c>
      <c r="C49" s="319"/>
      <c r="D49" s="319"/>
      <c r="E49" s="319"/>
      <c r="F49" s="319"/>
      <c r="G49" s="319"/>
      <c r="H49" s="466"/>
      <c r="I49" s="328" t="s">
        <v>102</v>
      </c>
      <c r="J49" s="329"/>
      <c r="K49" s="329"/>
      <c r="L49" s="329"/>
      <c r="M49" s="329"/>
      <c r="N49" s="329"/>
      <c r="O49" s="329"/>
      <c r="P49" s="521"/>
      <c r="Q49" s="363"/>
      <c r="R49" s="363"/>
      <c r="S49" s="363"/>
      <c r="T49" s="363"/>
      <c r="U49" s="363"/>
      <c r="V49" s="363"/>
      <c r="W49" s="363"/>
      <c r="X49" s="363"/>
      <c r="Y49" s="363"/>
      <c r="Z49" s="363"/>
      <c r="AA49" s="363"/>
      <c r="AB49" s="363"/>
    </row>
    <row r="50" ht="15.6" spans="1:28">
      <c r="A50" s="363"/>
      <c r="B50" s="467"/>
      <c r="C50" s="298"/>
      <c r="D50" s="298"/>
      <c r="E50" s="298"/>
      <c r="F50" s="298"/>
      <c r="G50" s="298"/>
      <c r="H50" s="468"/>
      <c r="I50" s="467"/>
      <c r="J50" s="298"/>
      <c r="K50" s="298"/>
      <c r="L50" s="298"/>
      <c r="M50" s="298"/>
      <c r="N50" s="298"/>
      <c r="O50" s="298"/>
      <c r="P50" s="468"/>
      <c r="Q50" s="363"/>
      <c r="R50" s="363"/>
      <c r="S50" s="363"/>
      <c r="T50" s="363"/>
      <c r="U50" s="363"/>
      <c r="V50" s="363"/>
      <c r="W50" s="363"/>
      <c r="X50" s="363"/>
      <c r="Y50" s="363"/>
      <c r="Z50" s="363"/>
      <c r="AA50" s="363"/>
      <c r="AB50" s="363"/>
    </row>
    <row r="51" ht="15.6" spans="1:28">
      <c r="A51" s="363"/>
      <c r="B51" s="467"/>
      <c r="C51" s="298"/>
      <c r="D51" s="298"/>
      <c r="E51" s="298"/>
      <c r="F51" s="298"/>
      <c r="G51" s="298"/>
      <c r="H51" s="468"/>
      <c r="I51" s="467"/>
      <c r="J51" s="298"/>
      <c r="K51" s="298"/>
      <c r="L51" s="298"/>
      <c r="M51" s="298"/>
      <c r="N51" s="298"/>
      <c r="O51" s="298"/>
      <c r="P51" s="468"/>
      <c r="Q51" s="363"/>
      <c r="R51" s="363"/>
      <c r="S51" s="363"/>
      <c r="T51" s="363"/>
      <c r="U51" s="363"/>
      <c r="V51" s="363"/>
      <c r="W51" s="363"/>
      <c r="X51" s="363"/>
      <c r="Y51" s="363"/>
      <c r="Z51" s="363"/>
      <c r="AA51" s="363"/>
      <c r="AB51" s="363"/>
    </row>
    <row r="52" ht="15.6" spans="1:28">
      <c r="A52" s="363"/>
      <c r="B52" s="467"/>
      <c r="C52" s="298"/>
      <c r="D52" s="298"/>
      <c r="E52" s="298"/>
      <c r="F52" s="298"/>
      <c r="G52" s="298"/>
      <c r="H52" s="468"/>
      <c r="I52" s="467"/>
      <c r="J52" s="298"/>
      <c r="K52" s="298"/>
      <c r="L52" s="298"/>
      <c r="M52" s="298"/>
      <c r="N52" s="298"/>
      <c r="O52" s="298"/>
      <c r="P52" s="468"/>
      <c r="Q52" s="363"/>
      <c r="R52" s="363"/>
      <c r="S52" s="363"/>
      <c r="T52" s="363"/>
      <c r="U52" s="363"/>
      <c r="V52" s="363"/>
      <c r="W52" s="363"/>
      <c r="X52" s="363"/>
      <c r="Y52" s="363"/>
      <c r="Z52" s="363"/>
      <c r="AA52" s="363"/>
      <c r="AB52" s="363"/>
    </row>
    <row r="53" ht="15.6" spans="1:28">
      <c r="A53" s="363"/>
      <c r="B53" s="467"/>
      <c r="C53" s="298"/>
      <c r="D53" s="363"/>
      <c r="E53" s="363"/>
      <c r="F53" s="298"/>
      <c r="G53" s="298"/>
      <c r="H53" s="468"/>
      <c r="I53" s="467"/>
      <c r="J53" s="298"/>
      <c r="K53" s="298"/>
      <c r="L53" s="298"/>
      <c r="M53" s="298"/>
      <c r="N53" s="298"/>
      <c r="O53" s="298"/>
      <c r="P53" s="468"/>
      <c r="Q53" s="363"/>
      <c r="R53" s="363"/>
      <c r="S53" s="363"/>
      <c r="T53" s="363"/>
      <c r="U53" s="363"/>
      <c r="V53" s="363"/>
      <c r="W53" s="363"/>
      <c r="X53" s="363"/>
      <c r="Y53" s="363"/>
      <c r="Z53" s="363"/>
      <c r="AA53" s="363"/>
      <c r="AB53" s="363"/>
    </row>
    <row r="54" ht="15.6" spans="1:28">
      <c r="A54" s="363"/>
      <c r="B54" s="467"/>
      <c r="C54" s="469"/>
      <c r="D54" s="363"/>
      <c r="E54" s="363"/>
      <c r="F54" s="363"/>
      <c r="G54" s="363"/>
      <c r="H54" s="470"/>
      <c r="I54" s="467"/>
      <c r="J54" s="298"/>
      <c r="K54" s="298"/>
      <c r="L54" s="298"/>
      <c r="M54" s="298"/>
      <c r="N54" s="298"/>
      <c r="O54" s="298"/>
      <c r="P54" s="468"/>
      <c r="Q54" s="363"/>
      <c r="R54" s="363"/>
      <c r="S54" s="363"/>
      <c r="T54" s="363"/>
      <c r="U54" s="363"/>
      <c r="V54" s="363"/>
      <c r="W54" s="363"/>
      <c r="X54" s="363"/>
      <c r="Y54" s="363"/>
      <c r="Z54" s="363"/>
      <c r="AA54" s="363"/>
      <c r="AB54" s="363"/>
    </row>
    <row r="55" ht="15.6" spans="1:28">
      <c r="A55" s="363"/>
      <c r="B55" s="467"/>
      <c r="C55" s="469"/>
      <c r="D55" s="363"/>
      <c r="E55" s="363"/>
      <c r="F55" s="363"/>
      <c r="G55" s="363"/>
      <c r="H55" s="470"/>
      <c r="I55" s="467"/>
      <c r="J55" s="298"/>
      <c r="K55" s="298"/>
      <c r="L55" s="298"/>
      <c r="M55" s="298"/>
      <c r="N55" s="298"/>
      <c r="O55" s="298"/>
      <c r="P55" s="468"/>
      <c r="Q55" s="363"/>
      <c r="R55" s="363"/>
      <c r="S55" s="363"/>
      <c r="T55" s="363"/>
      <c r="U55" s="363"/>
      <c r="V55" s="363"/>
      <c r="W55" s="363"/>
      <c r="X55" s="363"/>
      <c r="Y55" s="363"/>
      <c r="Z55" s="363"/>
      <c r="AA55" s="363"/>
      <c r="AB55" s="363"/>
    </row>
    <row r="56" ht="15.6" spans="1:28">
      <c r="A56" s="363"/>
      <c r="B56" s="467"/>
      <c r="C56" s="298"/>
      <c r="D56" s="363"/>
      <c r="E56" s="363"/>
      <c r="F56" s="363"/>
      <c r="G56" s="363"/>
      <c r="H56" s="470"/>
      <c r="I56" s="467"/>
      <c r="J56" s="298"/>
      <c r="K56" s="298"/>
      <c r="L56" s="298"/>
      <c r="M56" s="298"/>
      <c r="N56" s="298"/>
      <c r="O56" s="298"/>
      <c r="P56" s="468"/>
      <c r="Q56" s="363"/>
      <c r="R56" s="363"/>
      <c r="S56" s="363"/>
      <c r="T56" s="363"/>
      <c r="U56" s="363"/>
      <c r="V56" s="363"/>
      <c r="W56" s="363"/>
      <c r="X56" s="363"/>
      <c r="Y56" s="363"/>
      <c r="Z56" s="363"/>
      <c r="AA56" s="363"/>
      <c r="AB56" s="363"/>
    </row>
    <row r="57" ht="15.6" spans="1:28">
      <c r="A57" s="363"/>
      <c r="B57" s="467"/>
      <c r="C57" s="298"/>
      <c r="D57" s="363"/>
      <c r="E57" s="363"/>
      <c r="F57" s="363"/>
      <c r="G57" s="363"/>
      <c r="H57" s="470"/>
      <c r="I57" s="467"/>
      <c r="J57" s="298"/>
      <c r="K57" s="298"/>
      <c r="L57" s="298"/>
      <c r="M57" s="298"/>
      <c r="N57" s="298"/>
      <c r="O57" s="298"/>
      <c r="P57" s="468"/>
      <c r="Q57" s="363"/>
      <c r="R57" s="363"/>
      <c r="S57" s="363"/>
      <c r="T57" s="363"/>
      <c r="U57" s="363"/>
      <c r="V57" s="363"/>
      <c r="W57" s="363"/>
      <c r="X57" s="363"/>
      <c r="Y57" s="363"/>
      <c r="Z57" s="363"/>
      <c r="AA57" s="363"/>
      <c r="AB57" s="363"/>
    </row>
    <row r="58" ht="15.6" spans="1:28">
      <c r="A58" s="363"/>
      <c r="B58" s="467"/>
      <c r="C58" s="298"/>
      <c r="D58" s="363"/>
      <c r="E58" s="363"/>
      <c r="F58" s="363"/>
      <c r="G58" s="363"/>
      <c r="H58" s="470"/>
      <c r="I58" s="467"/>
      <c r="J58" s="298"/>
      <c r="K58" s="298"/>
      <c r="L58" s="298"/>
      <c r="M58" s="298"/>
      <c r="N58" s="298"/>
      <c r="O58" s="298"/>
      <c r="P58" s="468"/>
      <c r="Q58" s="363"/>
      <c r="R58" s="363"/>
      <c r="S58" s="363"/>
      <c r="T58" s="363"/>
      <c r="U58" s="363"/>
      <c r="V58" s="363"/>
      <c r="W58" s="363"/>
      <c r="X58" s="363"/>
      <c r="Y58" s="363"/>
      <c r="Z58" s="363"/>
      <c r="AA58" s="363"/>
      <c r="AB58" s="363"/>
    </row>
    <row r="59" ht="15.6" spans="1:28">
      <c r="A59" s="363"/>
      <c r="B59" s="467"/>
      <c r="C59" s="298"/>
      <c r="D59" s="363"/>
      <c r="E59" s="363"/>
      <c r="F59" s="363"/>
      <c r="G59" s="363"/>
      <c r="H59" s="470"/>
      <c r="I59" s="467"/>
      <c r="J59" s="298"/>
      <c r="K59" s="298"/>
      <c r="L59" s="298"/>
      <c r="M59" s="298"/>
      <c r="N59" s="298"/>
      <c r="O59" s="298"/>
      <c r="P59" s="468"/>
      <c r="Q59" s="363"/>
      <c r="R59" s="363"/>
      <c r="S59" s="363"/>
      <c r="T59" s="363"/>
      <c r="U59" s="363"/>
      <c r="V59" s="363"/>
      <c r="W59" s="363"/>
      <c r="X59" s="363"/>
      <c r="Y59" s="363"/>
      <c r="Z59" s="363"/>
      <c r="AA59" s="363"/>
      <c r="AB59" s="363"/>
    </row>
    <row r="60" ht="15.6" spans="1:28">
      <c r="A60" s="363"/>
      <c r="B60" s="467"/>
      <c r="C60" s="298"/>
      <c r="D60" s="363"/>
      <c r="E60" s="363"/>
      <c r="F60" s="363"/>
      <c r="G60" s="363"/>
      <c r="H60" s="470"/>
      <c r="I60" s="467"/>
      <c r="J60" s="298"/>
      <c r="K60" s="298"/>
      <c r="L60" s="298"/>
      <c r="M60" s="298"/>
      <c r="N60" s="298"/>
      <c r="O60" s="298"/>
      <c r="P60" s="468"/>
      <c r="Q60" s="363"/>
      <c r="R60" s="363"/>
      <c r="S60" s="363"/>
      <c r="T60" s="363"/>
      <c r="U60" s="363"/>
      <c r="V60" s="363"/>
      <c r="W60" s="363"/>
      <c r="X60" s="363"/>
      <c r="Y60" s="363"/>
      <c r="Z60" s="363"/>
      <c r="AA60" s="363"/>
      <c r="AB60" s="363"/>
    </row>
    <row r="61" ht="15.6" spans="1:28">
      <c r="A61" s="363"/>
      <c r="B61" s="467"/>
      <c r="C61" s="298"/>
      <c r="D61" s="363"/>
      <c r="E61" s="363"/>
      <c r="F61" s="363"/>
      <c r="G61" s="363"/>
      <c r="H61" s="470"/>
      <c r="I61" s="467"/>
      <c r="J61" s="298"/>
      <c r="K61" s="298"/>
      <c r="L61" s="298"/>
      <c r="M61" s="298"/>
      <c r="N61" s="298"/>
      <c r="O61" s="298"/>
      <c r="P61" s="468"/>
      <c r="Q61" s="363"/>
      <c r="R61" s="363"/>
      <c r="S61" s="363"/>
      <c r="T61" s="363"/>
      <c r="U61" s="363"/>
      <c r="V61" s="363"/>
      <c r="W61" s="363"/>
      <c r="X61" s="363"/>
      <c r="Y61" s="363"/>
      <c r="Z61" s="363"/>
      <c r="AA61" s="363"/>
      <c r="AB61" s="363"/>
    </row>
    <row r="62" ht="15.6" spans="1:28">
      <c r="A62" s="363"/>
      <c r="B62" s="467"/>
      <c r="C62" s="298"/>
      <c r="D62" s="363"/>
      <c r="E62" s="363"/>
      <c r="F62" s="363"/>
      <c r="G62" s="363"/>
      <c r="H62" s="470"/>
      <c r="I62" s="467"/>
      <c r="J62" s="298"/>
      <c r="K62" s="298"/>
      <c r="L62" s="298"/>
      <c r="M62" s="298"/>
      <c r="N62" s="298"/>
      <c r="O62" s="298"/>
      <c r="P62" s="468"/>
      <c r="Q62" s="363"/>
      <c r="R62" s="363"/>
      <c r="S62" s="363"/>
      <c r="T62" s="363"/>
      <c r="U62" s="363"/>
      <c r="V62" s="363"/>
      <c r="W62" s="363"/>
      <c r="X62" s="363"/>
      <c r="Y62" s="363"/>
      <c r="Z62" s="363"/>
      <c r="AA62" s="363"/>
      <c r="AB62" s="363"/>
    </row>
    <row r="63" ht="15.6" spans="1:28">
      <c r="A63" s="363"/>
      <c r="B63" s="467"/>
      <c r="C63" s="298"/>
      <c r="D63" s="363"/>
      <c r="E63" s="363"/>
      <c r="F63" s="363"/>
      <c r="G63" s="363"/>
      <c r="H63" s="470"/>
      <c r="I63" s="467"/>
      <c r="J63" s="298"/>
      <c r="K63" s="298"/>
      <c r="L63" s="298"/>
      <c r="M63" s="298"/>
      <c r="N63" s="298"/>
      <c r="O63" s="298"/>
      <c r="P63" s="468"/>
      <c r="Q63" s="363"/>
      <c r="R63" s="363"/>
      <c r="S63" s="363"/>
      <c r="T63" s="363"/>
      <c r="U63" s="363"/>
      <c r="V63" s="363"/>
      <c r="W63" s="363"/>
      <c r="X63" s="363"/>
      <c r="Y63" s="363"/>
      <c r="Z63" s="363"/>
      <c r="AA63" s="363"/>
      <c r="AB63" s="363"/>
    </row>
    <row r="64" ht="15.6" spans="1:28">
      <c r="A64" s="363"/>
      <c r="B64" s="467"/>
      <c r="C64" s="298"/>
      <c r="D64" s="363"/>
      <c r="E64" s="363"/>
      <c r="F64" s="363"/>
      <c r="G64" s="363"/>
      <c r="H64" s="470"/>
      <c r="I64" s="467"/>
      <c r="J64" s="298"/>
      <c r="K64" s="298"/>
      <c r="L64" s="298"/>
      <c r="M64" s="298"/>
      <c r="N64" s="298"/>
      <c r="O64" s="298"/>
      <c r="P64" s="468"/>
      <c r="Q64" s="363"/>
      <c r="R64" s="363"/>
      <c r="S64" s="363"/>
      <c r="T64" s="363"/>
      <c r="U64" s="363"/>
      <c r="V64" s="363"/>
      <c r="W64" s="363"/>
      <c r="X64" s="363"/>
      <c r="Y64" s="363"/>
      <c r="Z64" s="363"/>
      <c r="AA64" s="363"/>
      <c r="AB64" s="363"/>
    </row>
    <row r="65" ht="16.35" spans="1:28">
      <c r="A65" s="363"/>
      <c r="B65" s="467"/>
      <c r="C65" s="469"/>
      <c r="D65" s="363"/>
      <c r="E65" s="363"/>
      <c r="F65" s="363"/>
      <c r="G65" s="363"/>
      <c r="H65" s="470"/>
      <c r="I65" s="467"/>
      <c r="J65" s="469"/>
      <c r="K65" s="469"/>
      <c r="L65" s="469"/>
      <c r="M65" s="469"/>
      <c r="N65" s="469"/>
      <c r="O65" s="469"/>
      <c r="P65" s="468"/>
      <c r="Q65" s="363"/>
      <c r="R65" s="363"/>
      <c r="S65" s="363"/>
      <c r="T65" s="363"/>
      <c r="U65" s="363"/>
      <c r="V65" s="363"/>
      <c r="W65" s="363"/>
      <c r="X65" s="363"/>
      <c r="Y65" s="363"/>
      <c r="Z65" s="363"/>
      <c r="AA65" s="363"/>
      <c r="AB65" s="363"/>
    </row>
    <row r="66" ht="15.6" spans="1:28">
      <c r="A66" s="549"/>
      <c r="B66" s="550"/>
      <c r="C66" s="551"/>
      <c r="D66" s="552"/>
      <c r="E66" s="552"/>
      <c r="F66" s="552"/>
      <c r="G66" s="552"/>
      <c r="H66" s="552"/>
      <c r="I66" s="551"/>
      <c r="J66" s="551"/>
      <c r="K66" s="551"/>
      <c r="L66" s="551"/>
      <c r="M66" s="551"/>
      <c r="N66" s="551"/>
      <c r="O66" s="551"/>
      <c r="P66" s="551"/>
      <c r="Q66" s="552"/>
      <c r="R66" s="552"/>
      <c r="S66" s="552"/>
      <c r="T66" s="592"/>
      <c r="U66" s="549"/>
      <c r="V66" s="363"/>
      <c r="W66" s="363"/>
      <c r="X66" s="363"/>
      <c r="Y66" s="363"/>
      <c r="Z66" s="363"/>
      <c r="AA66" s="363"/>
      <c r="AB66" s="363"/>
    </row>
    <row r="67" ht="15.6" spans="1:28">
      <c r="A67" s="549"/>
      <c r="B67" s="553"/>
      <c r="C67" s="554"/>
      <c r="D67" s="549"/>
      <c r="E67" s="549"/>
      <c r="F67" s="549"/>
      <c r="G67" s="549"/>
      <c r="H67" s="549"/>
      <c r="I67" s="581"/>
      <c r="J67" s="581"/>
      <c r="K67" s="581"/>
      <c r="L67" s="581"/>
      <c r="M67" s="581"/>
      <c r="N67" s="581"/>
      <c r="O67" s="581"/>
      <c r="P67" s="581"/>
      <c r="Q67" s="549"/>
      <c r="R67" s="549"/>
      <c r="S67" s="549"/>
      <c r="T67" s="593"/>
      <c r="U67" s="549"/>
      <c r="V67" s="363"/>
      <c r="W67" s="363"/>
      <c r="X67" s="363"/>
      <c r="Y67" s="363"/>
      <c r="Z67" s="363"/>
      <c r="AA67" s="363"/>
      <c r="AB67" s="363"/>
    </row>
    <row r="68" ht="15.6" spans="1:28">
      <c r="A68" s="549"/>
      <c r="B68" s="553"/>
      <c r="C68" s="554"/>
      <c r="D68" s="549"/>
      <c r="E68" s="549"/>
      <c r="F68" s="549"/>
      <c r="G68" s="549"/>
      <c r="H68" s="549"/>
      <c r="I68" s="581"/>
      <c r="J68" s="581"/>
      <c r="K68" s="581"/>
      <c r="L68" s="581"/>
      <c r="M68" s="581"/>
      <c r="N68" s="581"/>
      <c r="O68" s="581"/>
      <c r="P68" s="581"/>
      <c r="Q68" s="549"/>
      <c r="R68" s="549"/>
      <c r="S68" s="549"/>
      <c r="T68" s="593"/>
      <c r="U68" s="549"/>
      <c r="V68" s="363"/>
      <c r="W68" s="363"/>
      <c r="X68" s="363"/>
      <c r="Y68" s="363"/>
      <c r="Z68" s="363"/>
      <c r="AA68" s="363"/>
      <c r="AB68" s="363"/>
    </row>
    <row r="69" ht="15.6" spans="1:28">
      <c r="A69" s="549"/>
      <c r="B69" s="553"/>
      <c r="C69" s="554"/>
      <c r="D69" s="549"/>
      <c r="E69" s="549"/>
      <c r="F69" s="549"/>
      <c r="G69" s="549"/>
      <c r="H69" s="549"/>
      <c r="I69" s="581"/>
      <c r="J69" s="581"/>
      <c r="K69" s="581"/>
      <c r="L69" s="581"/>
      <c r="M69" s="581"/>
      <c r="N69" s="581"/>
      <c r="O69" s="581"/>
      <c r="P69" s="581"/>
      <c r="Q69" s="549"/>
      <c r="R69" s="549"/>
      <c r="S69" s="549"/>
      <c r="T69" s="593"/>
      <c r="U69" s="549"/>
      <c r="V69" s="363"/>
      <c r="W69" s="363"/>
      <c r="X69" s="363"/>
      <c r="Y69" s="363"/>
      <c r="Z69" s="363"/>
      <c r="AA69" s="363"/>
      <c r="AB69" s="363"/>
    </row>
    <row r="70" ht="15.6" spans="1:28">
      <c r="A70" s="549"/>
      <c r="B70" s="553"/>
      <c r="C70" s="554"/>
      <c r="D70" s="549"/>
      <c r="E70" s="549"/>
      <c r="F70" s="549"/>
      <c r="G70" s="549"/>
      <c r="H70" s="549"/>
      <c r="I70" s="581"/>
      <c r="J70" s="581"/>
      <c r="K70" s="581"/>
      <c r="L70" s="581"/>
      <c r="M70" s="581"/>
      <c r="N70" s="581"/>
      <c r="O70" s="581"/>
      <c r="P70" s="581"/>
      <c r="Q70" s="549"/>
      <c r="R70" s="549"/>
      <c r="S70" s="549"/>
      <c r="T70" s="593"/>
      <c r="U70" s="549"/>
      <c r="V70" s="363"/>
      <c r="W70" s="363"/>
      <c r="X70" s="363"/>
      <c r="Y70" s="363"/>
      <c r="Z70" s="363"/>
      <c r="AA70" s="363"/>
      <c r="AB70" s="363"/>
    </row>
    <row r="71" ht="15.6" spans="1:28">
      <c r="A71" s="549"/>
      <c r="B71" s="553"/>
      <c r="C71" s="554"/>
      <c r="D71" s="549"/>
      <c r="E71" s="549"/>
      <c r="F71" s="549"/>
      <c r="G71" s="549"/>
      <c r="H71" s="549"/>
      <c r="I71" s="581"/>
      <c r="J71" s="581"/>
      <c r="K71" s="581"/>
      <c r="L71" s="581"/>
      <c r="M71" s="581"/>
      <c r="N71" s="581"/>
      <c r="O71" s="581"/>
      <c r="P71" s="581"/>
      <c r="Q71" s="549"/>
      <c r="R71" s="549"/>
      <c r="S71" s="549"/>
      <c r="T71" s="593"/>
      <c r="U71" s="549"/>
      <c r="V71" s="363"/>
      <c r="W71" s="363"/>
      <c r="X71" s="363"/>
      <c r="Y71" s="363"/>
      <c r="Z71" s="363"/>
      <c r="AA71" s="363"/>
      <c r="AB71" s="363"/>
    </row>
    <row r="72" ht="15.6" spans="1:28">
      <c r="A72" s="549"/>
      <c r="B72" s="553"/>
      <c r="C72" s="554"/>
      <c r="D72" s="549"/>
      <c r="E72" s="549"/>
      <c r="F72" s="549"/>
      <c r="G72" s="549"/>
      <c r="H72" s="549"/>
      <c r="I72" s="581"/>
      <c r="J72" s="581"/>
      <c r="K72" s="581"/>
      <c r="L72" s="581"/>
      <c r="M72" s="581"/>
      <c r="N72" s="581"/>
      <c r="O72" s="581"/>
      <c r="P72" s="581"/>
      <c r="Q72" s="549"/>
      <c r="R72" s="549"/>
      <c r="S72" s="549"/>
      <c r="T72" s="593"/>
      <c r="U72" s="549"/>
      <c r="V72" s="363"/>
      <c r="W72" s="363"/>
      <c r="X72" s="363"/>
      <c r="Y72" s="363"/>
      <c r="Z72" s="363"/>
      <c r="AA72" s="363"/>
      <c r="AB72" s="363"/>
    </row>
    <row r="73" ht="15.6" spans="1:28">
      <c r="A73" s="549"/>
      <c r="B73" s="553"/>
      <c r="C73" s="554"/>
      <c r="D73" s="549"/>
      <c r="E73" s="549"/>
      <c r="F73" s="549"/>
      <c r="G73" s="549"/>
      <c r="H73" s="549"/>
      <c r="I73" s="581"/>
      <c r="J73" s="581"/>
      <c r="K73" s="581"/>
      <c r="L73" s="581"/>
      <c r="M73" s="581"/>
      <c r="N73" s="581"/>
      <c r="O73" s="581"/>
      <c r="P73" s="581"/>
      <c r="Q73" s="549"/>
      <c r="R73" s="549"/>
      <c r="S73" s="549"/>
      <c r="T73" s="593"/>
      <c r="U73" s="549"/>
      <c r="V73" s="363"/>
      <c r="W73" s="363"/>
      <c r="X73" s="363"/>
      <c r="Y73" s="363"/>
      <c r="Z73" s="363"/>
      <c r="AA73" s="363"/>
      <c r="AB73" s="363"/>
    </row>
    <row r="74" ht="15.6" spans="1:28">
      <c r="A74" s="549"/>
      <c r="B74" s="553"/>
      <c r="C74" s="554"/>
      <c r="D74" s="549"/>
      <c r="E74" s="549"/>
      <c r="F74" s="549"/>
      <c r="G74" s="549"/>
      <c r="H74" s="549"/>
      <c r="I74" s="581"/>
      <c r="J74" s="581"/>
      <c r="K74" s="581"/>
      <c r="L74" s="581"/>
      <c r="M74" s="581"/>
      <c r="N74" s="581"/>
      <c r="O74" s="581"/>
      <c r="P74" s="581"/>
      <c r="Q74" s="549"/>
      <c r="R74" s="549"/>
      <c r="S74" s="549"/>
      <c r="T74" s="593"/>
      <c r="U74" s="549"/>
      <c r="V74" s="363"/>
      <c r="W74" s="363"/>
      <c r="X74" s="363"/>
      <c r="Y74" s="363"/>
      <c r="Z74" s="363"/>
      <c r="AA74" s="363"/>
      <c r="AB74" s="363"/>
    </row>
    <row r="75" ht="15.6" spans="1:28">
      <c r="A75" s="549"/>
      <c r="B75" s="553"/>
      <c r="C75" s="554"/>
      <c r="D75" s="549"/>
      <c r="E75" s="549"/>
      <c r="F75" s="549"/>
      <c r="G75" s="549"/>
      <c r="H75" s="549"/>
      <c r="I75" s="581"/>
      <c r="J75" s="581"/>
      <c r="K75" s="581"/>
      <c r="L75" s="581"/>
      <c r="M75" s="581"/>
      <c r="N75" s="581"/>
      <c r="O75" s="581"/>
      <c r="P75" s="581"/>
      <c r="Q75" s="549"/>
      <c r="R75" s="549"/>
      <c r="S75" s="549"/>
      <c r="T75" s="593"/>
      <c r="U75" s="549"/>
      <c r="V75" s="363"/>
      <c r="W75" s="363"/>
      <c r="X75" s="363"/>
      <c r="Y75" s="363"/>
      <c r="Z75" s="363"/>
      <c r="AA75" s="363"/>
      <c r="AB75" s="363"/>
    </row>
    <row r="76" ht="15.6" spans="1:28">
      <c r="A76" s="549"/>
      <c r="B76" s="553"/>
      <c r="C76" s="554"/>
      <c r="D76" s="549"/>
      <c r="E76" s="549"/>
      <c r="F76" s="549"/>
      <c r="G76" s="549"/>
      <c r="H76" s="549"/>
      <c r="I76" s="581"/>
      <c r="J76" s="581"/>
      <c r="K76" s="581"/>
      <c r="L76" s="581"/>
      <c r="M76" s="581"/>
      <c r="N76" s="581"/>
      <c r="O76" s="581"/>
      <c r="P76" s="581"/>
      <c r="Q76" s="549"/>
      <c r="R76" s="549"/>
      <c r="S76" s="549"/>
      <c r="T76" s="593"/>
      <c r="U76" s="549"/>
      <c r="V76" s="363"/>
      <c r="W76" s="363"/>
      <c r="X76" s="363"/>
      <c r="Y76" s="363"/>
      <c r="Z76" s="363"/>
      <c r="AA76" s="363"/>
      <c r="AB76" s="363"/>
    </row>
    <row r="77" ht="15.6" spans="1:28">
      <c r="A77" s="549"/>
      <c r="B77" s="553"/>
      <c r="C77" s="554"/>
      <c r="D77" s="549"/>
      <c r="E77" s="549"/>
      <c r="F77" s="549"/>
      <c r="G77" s="549"/>
      <c r="H77" s="549"/>
      <c r="I77" s="581"/>
      <c r="J77" s="581"/>
      <c r="K77" s="581"/>
      <c r="L77" s="581"/>
      <c r="M77" s="581"/>
      <c r="N77" s="581"/>
      <c r="O77" s="581"/>
      <c r="P77" s="581"/>
      <c r="Q77" s="549"/>
      <c r="R77" s="549"/>
      <c r="S77" s="549"/>
      <c r="T77" s="593"/>
      <c r="U77" s="549"/>
      <c r="V77" s="363"/>
      <c r="W77" s="363"/>
      <c r="X77" s="363"/>
      <c r="Y77" s="363"/>
      <c r="Z77" s="363"/>
      <c r="AA77" s="363"/>
      <c r="AB77" s="363"/>
    </row>
    <row r="78" ht="15.6" spans="1:28">
      <c r="A78" s="549"/>
      <c r="B78" s="553"/>
      <c r="C78" s="554"/>
      <c r="D78" s="549"/>
      <c r="E78" s="549"/>
      <c r="F78" s="549"/>
      <c r="G78" s="549"/>
      <c r="H78" s="549"/>
      <c r="I78" s="581"/>
      <c r="J78" s="581"/>
      <c r="K78" s="581"/>
      <c r="L78" s="581"/>
      <c r="M78" s="581"/>
      <c r="N78" s="581"/>
      <c r="O78" s="581"/>
      <c r="P78" s="581"/>
      <c r="Q78" s="549"/>
      <c r="R78" s="549"/>
      <c r="S78" s="549"/>
      <c r="T78" s="593"/>
      <c r="U78" s="549"/>
      <c r="V78" s="363"/>
      <c r="W78" s="363"/>
      <c r="X78" s="363"/>
      <c r="Y78" s="363"/>
      <c r="Z78" s="363"/>
      <c r="AA78" s="363"/>
      <c r="AB78" s="363"/>
    </row>
    <row r="79" ht="15.6" spans="1:28">
      <c r="A79" s="549"/>
      <c r="B79" s="553"/>
      <c r="C79" s="554"/>
      <c r="D79" s="549"/>
      <c r="E79" s="549"/>
      <c r="F79" s="549"/>
      <c r="G79" s="549"/>
      <c r="H79" s="549"/>
      <c r="I79" s="581"/>
      <c r="J79" s="581"/>
      <c r="K79" s="581"/>
      <c r="L79" s="581"/>
      <c r="M79" s="581"/>
      <c r="N79" s="581"/>
      <c r="O79" s="581"/>
      <c r="P79" s="581"/>
      <c r="Q79" s="549"/>
      <c r="R79" s="549"/>
      <c r="S79" s="549"/>
      <c r="T79" s="593"/>
      <c r="U79" s="549"/>
      <c r="V79" s="363"/>
      <c r="W79" s="363"/>
      <c r="X79" s="363"/>
      <c r="Y79" s="363"/>
      <c r="Z79" s="363"/>
      <c r="AA79" s="363"/>
      <c r="AB79" s="363"/>
    </row>
    <row r="80" ht="15.6" spans="1:28">
      <c r="A80" s="549"/>
      <c r="B80" s="553"/>
      <c r="C80" s="554"/>
      <c r="D80" s="549"/>
      <c r="E80" s="549"/>
      <c r="F80" s="549"/>
      <c r="G80" s="549"/>
      <c r="H80" s="549"/>
      <c r="I80" s="581"/>
      <c r="J80" s="581"/>
      <c r="K80" s="581"/>
      <c r="L80" s="581"/>
      <c r="M80" s="581"/>
      <c r="N80" s="581"/>
      <c r="O80" s="581"/>
      <c r="P80" s="581"/>
      <c r="Q80" s="549"/>
      <c r="R80" s="549"/>
      <c r="S80" s="549"/>
      <c r="T80" s="593"/>
      <c r="U80" s="549"/>
      <c r="V80" s="363"/>
      <c r="W80" s="363"/>
      <c r="X80" s="363"/>
      <c r="Y80" s="363"/>
      <c r="Z80" s="363"/>
      <c r="AA80" s="363"/>
      <c r="AB80" s="363"/>
    </row>
    <row r="81" ht="15.6" spans="1:28">
      <c r="A81" s="549"/>
      <c r="B81" s="553"/>
      <c r="C81" s="554"/>
      <c r="D81" s="549"/>
      <c r="E81" s="549"/>
      <c r="F81" s="549"/>
      <c r="G81" s="549"/>
      <c r="H81" s="549"/>
      <c r="I81" s="581"/>
      <c r="J81" s="581"/>
      <c r="K81" s="581"/>
      <c r="L81" s="581"/>
      <c r="M81" s="581"/>
      <c r="N81" s="581"/>
      <c r="O81" s="581"/>
      <c r="P81" s="581"/>
      <c r="Q81" s="549"/>
      <c r="R81" s="549"/>
      <c r="S81" s="549"/>
      <c r="T81" s="593"/>
      <c r="U81" s="549"/>
      <c r="V81" s="363"/>
      <c r="W81" s="363"/>
      <c r="X81" s="363"/>
      <c r="Y81" s="363"/>
      <c r="Z81" s="363"/>
      <c r="AA81" s="363"/>
      <c r="AB81" s="363"/>
    </row>
    <row r="82" ht="15.6" spans="1:28">
      <c r="A82" s="549"/>
      <c r="B82" s="553"/>
      <c r="C82" s="554"/>
      <c r="D82" s="549"/>
      <c r="E82" s="549"/>
      <c r="F82" s="549"/>
      <c r="G82" s="549"/>
      <c r="H82" s="549"/>
      <c r="I82" s="581"/>
      <c r="J82" s="581"/>
      <c r="K82" s="581"/>
      <c r="L82" s="581"/>
      <c r="M82" s="581"/>
      <c r="N82" s="581"/>
      <c r="O82" s="581"/>
      <c r="P82" s="581"/>
      <c r="Q82" s="549"/>
      <c r="R82" s="549"/>
      <c r="S82" s="549"/>
      <c r="T82" s="593"/>
      <c r="U82" s="549"/>
      <c r="V82" s="363"/>
      <c r="W82" s="363"/>
      <c r="X82" s="363"/>
      <c r="Y82" s="363"/>
      <c r="Z82" s="363"/>
      <c r="AA82" s="363"/>
      <c r="AB82" s="363"/>
    </row>
    <row r="83" ht="15.6" spans="1:28">
      <c r="A83" s="549"/>
      <c r="B83" s="553"/>
      <c r="C83" s="554"/>
      <c r="D83" s="549"/>
      <c r="E83" s="549"/>
      <c r="F83" s="549"/>
      <c r="G83" s="549"/>
      <c r="H83" s="549"/>
      <c r="I83" s="581"/>
      <c r="J83" s="581"/>
      <c r="K83" s="581"/>
      <c r="L83" s="581"/>
      <c r="M83" s="581"/>
      <c r="N83" s="581"/>
      <c r="O83" s="581"/>
      <c r="P83" s="581"/>
      <c r="Q83" s="549"/>
      <c r="R83" s="549"/>
      <c r="S83" s="549"/>
      <c r="T83" s="593"/>
      <c r="U83" s="549"/>
      <c r="V83" s="363"/>
      <c r="W83" s="363"/>
      <c r="X83" s="363"/>
      <c r="Y83" s="363"/>
      <c r="Z83" s="363"/>
      <c r="AA83" s="363"/>
      <c r="AB83" s="363"/>
    </row>
    <row r="84" ht="15.6" spans="1:28">
      <c r="A84" s="549"/>
      <c r="B84" s="553"/>
      <c r="C84" s="554"/>
      <c r="D84" s="549"/>
      <c r="E84" s="549"/>
      <c r="F84" s="549"/>
      <c r="G84" s="549"/>
      <c r="H84" s="549"/>
      <c r="I84" s="581"/>
      <c r="J84" s="581"/>
      <c r="K84" s="581"/>
      <c r="L84" s="581"/>
      <c r="M84" s="581"/>
      <c r="N84" s="581"/>
      <c r="O84" s="581"/>
      <c r="P84" s="581"/>
      <c r="Q84" s="549"/>
      <c r="R84" s="549"/>
      <c r="S84" s="549"/>
      <c r="T84" s="593"/>
      <c r="U84" s="549"/>
      <c r="V84" s="363"/>
      <c r="W84" s="363"/>
      <c r="X84" s="363"/>
      <c r="Y84" s="363"/>
      <c r="Z84" s="363"/>
      <c r="AA84" s="363"/>
      <c r="AB84" s="363"/>
    </row>
    <row r="85" ht="15.6" spans="1:28">
      <c r="A85" s="549"/>
      <c r="B85" s="553"/>
      <c r="C85" s="554"/>
      <c r="D85" s="549"/>
      <c r="E85" s="549"/>
      <c r="F85" s="549"/>
      <c r="G85" s="549"/>
      <c r="H85" s="549"/>
      <c r="I85" s="581"/>
      <c r="J85" s="581"/>
      <c r="K85" s="581"/>
      <c r="L85" s="581"/>
      <c r="M85" s="581"/>
      <c r="N85" s="581"/>
      <c r="O85" s="581"/>
      <c r="P85" s="581"/>
      <c r="Q85" s="549"/>
      <c r="R85" s="549"/>
      <c r="S85" s="549"/>
      <c r="T85" s="593"/>
      <c r="U85" s="549"/>
      <c r="V85" s="363"/>
      <c r="W85" s="363"/>
      <c r="X85" s="363"/>
      <c r="Y85" s="363"/>
      <c r="Z85" s="363"/>
      <c r="AA85" s="363"/>
      <c r="AB85" s="363"/>
    </row>
    <row r="86" ht="15.6" spans="1:28">
      <c r="A86" s="549"/>
      <c r="B86" s="553"/>
      <c r="C86" s="554"/>
      <c r="D86" s="549"/>
      <c r="E86" s="549"/>
      <c r="F86" s="549"/>
      <c r="G86" s="549"/>
      <c r="H86" s="549"/>
      <c r="I86" s="581"/>
      <c r="J86" s="581"/>
      <c r="K86" s="581"/>
      <c r="L86" s="581"/>
      <c r="M86" s="581"/>
      <c r="N86" s="581"/>
      <c r="O86" s="581"/>
      <c r="P86" s="581"/>
      <c r="Q86" s="549"/>
      <c r="R86" s="549"/>
      <c r="S86" s="549"/>
      <c r="T86" s="593"/>
      <c r="U86" s="549"/>
      <c r="V86" s="363"/>
      <c r="W86" s="363"/>
      <c r="X86" s="363"/>
      <c r="Y86" s="363"/>
      <c r="Z86" s="363"/>
      <c r="AA86" s="363"/>
      <c r="AB86" s="363"/>
    </row>
    <row r="87" ht="15.6" spans="1:28">
      <c r="A87" s="549"/>
      <c r="B87" s="553"/>
      <c r="C87" s="554"/>
      <c r="D87" s="549"/>
      <c r="E87" s="549"/>
      <c r="F87" s="549"/>
      <c r="G87" s="549"/>
      <c r="H87" s="549"/>
      <c r="I87" s="581"/>
      <c r="J87" s="581"/>
      <c r="K87" s="581"/>
      <c r="L87" s="581"/>
      <c r="M87" s="581"/>
      <c r="N87" s="581"/>
      <c r="O87" s="581"/>
      <c r="P87" s="581"/>
      <c r="Q87" s="549"/>
      <c r="R87" s="549"/>
      <c r="S87" s="549"/>
      <c r="T87" s="593"/>
      <c r="U87" s="549"/>
      <c r="V87" s="363"/>
      <c r="W87" s="363"/>
      <c r="X87" s="363"/>
      <c r="Y87" s="363"/>
      <c r="Z87" s="363"/>
      <c r="AA87" s="363"/>
      <c r="AB87" s="363"/>
    </row>
    <row r="88" ht="15.6" spans="1:28">
      <c r="A88" s="549"/>
      <c r="B88" s="553"/>
      <c r="C88" s="554"/>
      <c r="D88" s="549"/>
      <c r="E88" s="549"/>
      <c r="F88" s="549"/>
      <c r="G88" s="549"/>
      <c r="H88" s="549"/>
      <c r="I88" s="581"/>
      <c r="J88" s="581"/>
      <c r="K88" s="581"/>
      <c r="L88" s="581"/>
      <c r="M88" s="581"/>
      <c r="N88" s="581"/>
      <c r="O88" s="581"/>
      <c r="P88" s="581"/>
      <c r="Q88" s="549"/>
      <c r="R88" s="549"/>
      <c r="S88" s="549"/>
      <c r="T88" s="593"/>
      <c r="U88" s="549"/>
      <c r="V88" s="363"/>
      <c r="W88" s="363"/>
      <c r="X88" s="363"/>
      <c r="Y88" s="363"/>
      <c r="Z88" s="363"/>
      <c r="AA88" s="363"/>
      <c r="AB88" s="363"/>
    </row>
    <row r="89" ht="15.6" spans="1:28">
      <c r="A89" s="549"/>
      <c r="B89" s="553"/>
      <c r="C89" s="554"/>
      <c r="D89" s="549"/>
      <c r="E89" s="549"/>
      <c r="F89" s="549"/>
      <c r="G89" s="549"/>
      <c r="H89" s="549"/>
      <c r="I89" s="581"/>
      <c r="J89" s="581"/>
      <c r="K89" s="581"/>
      <c r="L89" s="581"/>
      <c r="M89" s="581"/>
      <c r="N89" s="581"/>
      <c r="O89" s="581"/>
      <c r="P89" s="581"/>
      <c r="Q89" s="549"/>
      <c r="R89" s="549"/>
      <c r="S89" s="549"/>
      <c r="T89" s="593"/>
      <c r="U89" s="549"/>
      <c r="V89" s="363"/>
      <c r="W89" s="363"/>
      <c r="X89" s="363"/>
      <c r="Y89" s="363"/>
      <c r="Z89" s="363"/>
      <c r="AA89" s="363"/>
      <c r="AB89" s="363"/>
    </row>
    <row r="90" ht="15.6" spans="1:28">
      <c r="A90" s="549"/>
      <c r="B90" s="553"/>
      <c r="C90" s="554"/>
      <c r="D90" s="549"/>
      <c r="E90" s="549"/>
      <c r="F90" s="549"/>
      <c r="G90" s="549"/>
      <c r="H90" s="549"/>
      <c r="I90" s="581"/>
      <c r="J90" s="581"/>
      <c r="K90" s="581"/>
      <c r="L90" s="581"/>
      <c r="M90" s="581"/>
      <c r="N90" s="581"/>
      <c r="O90" s="581"/>
      <c r="P90" s="581"/>
      <c r="Q90" s="549"/>
      <c r="R90" s="549"/>
      <c r="S90" s="549"/>
      <c r="T90" s="593"/>
      <c r="U90" s="549"/>
      <c r="V90" s="363"/>
      <c r="W90" s="363"/>
      <c r="X90" s="363"/>
      <c r="Y90" s="363"/>
      <c r="Z90" s="363"/>
      <c r="AA90" s="363"/>
      <c r="AB90" s="363"/>
    </row>
    <row r="91" ht="15.6" spans="1:28">
      <c r="A91" s="549"/>
      <c r="B91" s="553"/>
      <c r="C91" s="554"/>
      <c r="D91" s="549"/>
      <c r="E91" s="549"/>
      <c r="F91" s="549"/>
      <c r="G91" s="549"/>
      <c r="H91" s="549"/>
      <c r="I91" s="581"/>
      <c r="J91" s="581"/>
      <c r="K91" s="581"/>
      <c r="L91" s="581"/>
      <c r="M91" s="581"/>
      <c r="N91" s="581"/>
      <c r="O91" s="581"/>
      <c r="P91" s="581"/>
      <c r="Q91" s="549"/>
      <c r="R91" s="549"/>
      <c r="S91" s="549"/>
      <c r="T91" s="593"/>
      <c r="U91" s="549"/>
      <c r="V91" s="363"/>
      <c r="W91" s="363"/>
      <c r="X91" s="363"/>
      <c r="Y91" s="363"/>
      <c r="Z91" s="363"/>
      <c r="AA91" s="363"/>
      <c r="AB91" s="363"/>
    </row>
    <row r="92" ht="15.6" spans="1:28">
      <c r="A92" s="549"/>
      <c r="B92" s="553"/>
      <c r="C92" s="554"/>
      <c r="D92" s="549"/>
      <c r="E92" s="549"/>
      <c r="F92" s="549"/>
      <c r="G92" s="549"/>
      <c r="H92" s="549"/>
      <c r="I92" s="581"/>
      <c r="J92" s="581"/>
      <c r="K92" s="581"/>
      <c r="L92" s="581"/>
      <c r="M92" s="581"/>
      <c r="N92" s="581"/>
      <c r="O92" s="581"/>
      <c r="P92" s="581"/>
      <c r="Q92" s="549"/>
      <c r="R92" s="549"/>
      <c r="S92" s="549"/>
      <c r="T92" s="593"/>
      <c r="U92" s="549"/>
      <c r="V92" s="363"/>
      <c r="W92" s="363"/>
      <c r="X92" s="363"/>
      <c r="Y92" s="363"/>
      <c r="Z92" s="363"/>
      <c r="AA92" s="363"/>
      <c r="AB92" s="363"/>
    </row>
    <row r="93" ht="15.6" spans="1:28">
      <c r="A93" s="549"/>
      <c r="B93" s="553"/>
      <c r="C93" s="554"/>
      <c r="D93" s="549"/>
      <c r="E93" s="549"/>
      <c r="F93" s="549"/>
      <c r="G93" s="549"/>
      <c r="H93" s="549"/>
      <c r="I93" s="581"/>
      <c r="J93" s="581"/>
      <c r="K93" s="581"/>
      <c r="L93" s="581"/>
      <c r="M93" s="581"/>
      <c r="N93" s="581"/>
      <c r="O93" s="581"/>
      <c r="P93" s="581"/>
      <c r="Q93" s="549"/>
      <c r="R93" s="549"/>
      <c r="S93" s="549"/>
      <c r="T93" s="593"/>
      <c r="U93" s="549"/>
      <c r="V93" s="363"/>
      <c r="W93" s="363"/>
      <c r="X93" s="363"/>
      <c r="Y93" s="363"/>
      <c r="Z93" s="363"/>
      <c r="AA93" s="363"/>
      <c r="AB93" s="363"/>
    </row>
    <row r="94" ht="15.6" spans="1:28">
      <c r="A94" s="549"/>
      <c r="B94" s="553"/>
      <c r="C94" s="554"/>
      <c r="D94" s="549"/>
      <c r="E94" s="549"/>
      <c r="F94" s="549"/>
      <c r="G94" s="549"/>
      <c r="H94" s="549"/>
      <c r="I94" s="581"/>
      <c r="J94" s="581"/>
      <c r="K94" s="581"/>
      <c r="L94" s="581"/>
      <c r="M94" s="581"/>
      <c r="N94" s="581"/>
      <c r="O94" s="581"/>
      <c r="P94" s="581"/>
      <c r="Q94" s="549"/>
      <c r="R94" s="549"/>
      <c r="S94" s="549"/>
      <c r="T94" s="593"/>
      <c r="U94" s="549"/>
      <c r="V94" s="363"/>
      <c r="W94" s="363"/>
      <c r="X94" s="363"/>
      <c r="Y94" s="363"/>
      <c r="Z94" s="363"/>
      <c r="AA94" s="363"/>
      <c r="AB94" s="363"/>
    </row>
    <row r="95" ht="15.6" spans="1:28">
      <c r="A95" s="549"/>
      <c r="B95" s="553"/>
      <c r="C95" s="554"/>
      <c r="D95" s="549"/>
      <c r="E95" s="549"/>
      <c r="F95" s="549"/>
      <c r="G95" s="549"/>
      <c r="H95" s="549"/>
      <c r="I95" s="581"/>
      <c r="J95" s="581"/>
      <c r="K95" s="581"/>
      <c r="L95" s="581"/>
      <c r="M95" s="581"/>
      <c r="N95" s="581"/>
      <c r="O95" s="581"/>
      <c r="P95" s="581"/>
      <c r="Q95" s="549"/>
      <c r="R95" s="549"/>
      <c r="S95" s="549"/>
      <c r="T95" s="593"/>
      <c r="U95" s="549"/>
      <c r="V95" s="363"/>
      <c r="W95" s="363"/>
      <c r="X95" s="363"/>
      <c r="Y95" s="363"/>
      <c r="Z95" s="363"/>
      <c r="AA95" s="363"/>
      <c r="AB95" s="363"/>
    </row>
    <row r="96" ht="15.6" spans="1:28">
      <c r="A96" s="549"/>
      <c r="B96" s="553"/>
      <c r="C96" s="554"/>
      <c r="D96" s="549"/>
      <c r="E96" s="549"/>
      <c r="F96" s="549"/>
      <c r="G96" s="549"/>
      <c r="H96" s="549"/>
      <c r="I96" s="549"/>
      <c r="J96" s="549"/>
      <c r="K96" s="549"/>
      <c r="L96" s="549"/>
      <c r="M96" s="549"/>
      <c r="N96" s="549"/>
      <c r="O96" s="549"/>
      <c r="P96" s="549"/>
      <c r="Q96" s="549"/>
      <c r="R96" s="549"/>
      <c r="S96" s="549"/>
      <c r="T96" s="593"/>
      <c r="U96" s="549"/>
      <c r="V96" s="363"/>
      <c r="W96" s="363"/>
      <c r="X96" s="363"/>
      <c r="Y96" s="363"/>
      <c r="Z96" s="363"/>
      <c r="AA96" s="363"/>
      <c r="AB96" s="363"/>
    </row>
    <row r="97" ht="15.6" spans="1:28">
      <c r="A97" s="549"/>
      <c r="B97" s="553"/>
      <c r="C97" s="554"/>
      <c r="D97" s="549"/>
      <c r="E97" s="549"/>
      <c r="F97" s="549"/>
      <c r="G97" s="549"/>
      <c r="H97" s="549"/>
      <c r="I97" s="549"/>
      <c r="J97" s="549"/>
      <c r="K97" s="549"/>
      <c r="L97" s="549"/>
      <c r="M97" s="549"/>
      <c r="N97" s="549"/>
      <c r="O97" s="549"/>
      <c r="P97" s="549"/>
      <c r="Q97" s="549"/>
      <c r="R97" s="549"/>
      <c r="S97" s="549"/>
      <c r="T97" s="593"/>
      <c r="U97" s="549"/>
      <c r="V97" s="363"/>
      <c r="W97" s="363"/>
      <c r="X97" s="363"/>
      <c r="Y97" s="363"/>
      <c r="Z97" s="363"/>
      <c r="AA97" s="363"/>
      <c r="AB97" s="363"/>
    </row>
    <row r="98" ht="16.35" spans="1:28">
      <c r="A98" s="549"/>
      <c r="B98" s="555"/>
      <c r="C98" s="556"/>
      <c r="D98" s="557"/>
      <c r="E98" s="557"/>
      <c r="F98" s="557"/>
      <c r="G98" s="557"/>
      <c r="H98" s="557"/>
      <c r="I98" s="557"/>
      <c r="J98" s="557"/>
      <c r="K98" s="557"/>
      <c r="L98" s="557"/>
      <c r="M98" s="557"/>
      <c r="N98" s="557"/>
      <c r="O98" s="557"/>
      <c r="P98" s="557"/>
      <c r="Q98" s="557"/>
      <c r="R98" s="557"/>
      <c r="S98" s="557"/>
      <c r="T98" s="594"/>
      <c r="U98" s="549"/>
      <c r="V98" s="363"/>
      <c r="W98" s="363"/>
      <c r="X98" s="363"/>
      <c r="Y98" s="363"/>
      <c r="Z98" s="363"/>
      <c r="AA98" s="363"/>
      <c r="AB98" s="363"/>
    </row>
    <row r="99" ht="15.6" spans="1:28">
      <c r="A99" s="549"/>
      <c r="B99" s="554"/>
      <c r="C99" s="554"/>
      <c r="D99" s="549"/>
      <c r="E99" s="549"/>
      <c r="F99" s="549"/>
      <c r="G99" s="549"/>
      <c r="H99" s="549"/>
      <c r="I99" s="549"/>
      <c r="J99" s="549"/>
      <c r="K99" s="549"/>
      <c r="L99" s="549"/>
      <c r="M99" s="549"/>
      <c r="N99" s="549"/>
      <c r="O99" s="549"/>
      <c r="P99" s="549"/>
      <c r="Q99" s="549"/>
      <c r="R99" s="549"/>
      <c r="S99" s="549"/>
      <c r="T99" s="549"/>
      <c r="U99" s="549"/>
      <c r="V99" s="363"/>
      <c r="W99" s="363"/>
      <c r="X99" s="363"/>
      <c r="Y99" s="363"/>
      <c r="Z99" s="363"/>
      <c r="AA99" s="363"/>
      <c r="AB99" s="363"/>
    </row>
    <row r="100" ht="15.6" spans="1:28">
      <c r="A100" s="549"/>
      <c r="B100" s="554"/>
      <c r="C100" s="554"/>
      <c r="D100" s="549"/>
      <c r="E100" s="549"/>
      <c r="F100" s="549"/>
      <c r="G100" s="549"/>
      <c r="H100" s="549"/>
      <c r="I100" s="549"/>
      <c r="J100" s="549"/>
      <c r="K100" s="549"/>
      <c r="L100" s="549"/>
      <c r="M100" s="549"/>
      <c r="N100" s="549"/>
      <c r="O100" s="549"/>
      <c r="P100" s="549"/>
      <c r="Q100" s="549"/>
      <c r="R100" s="549"/>
      <c r="S100" s="549"/>
      <c r="T100" s="549"/>
      <c r="U100" s="549"/>
      <c r="V100" s="363"/>
      <c r="W100" s="363"/>
      <c r="X100" s="363"/>
      <c r="Y100" s="363"/>
      <c r="Z100" s="363"/>
      <c r="AA100" s="363"/>
      <c r="AB100" s="363"/>
    </row>
    <row r="101" ht="15.6" spans="1:28">
      <c r="A101" s="549"/>
      <c r="B101" s="554"/>
      <c r="C101" s="554"/>
      <c r="D101" s="549"/>
      <c r="E101" s="549"/>
      <c r="F101" s="549"/>
      <c r="G101" s="549"/>
      <c r="H101" s="549"/>
      <c r="I101" s="549"/>
      <c r="J101" s="549"/>
      <c r="K101" s="549"/>
      <c r="L101" s="549"/>
      <c r="M101" s="549"/>
      <c r="N101" s="549"/>
      <c r="O101" s="549"/>
      <c r="P101" s="549"/>
      <c r="Q101" s="549"/>
      <c r="R101" s="549"/>
      <c r="S101" s="549"/>
      <c r="T101" s="549"/>
      <c r="U101" s="549"/>
      <c r="V101" s="363"/>
      <c r="W101" s="363"/>
      <c r="X101" s="363"/>
      <c r="Y101" s="363"/>
      <c r="Z101" s="363"/>
      <c r="AA101" s="363"/>
      <c r="AB101" s="363"/>
    </row>
    <row r="102" ht="15.6" spans="1:28">
      <c r="A102" s="549"/>
      <c r="B102" s="554"/>
      <c r="C102" s="554"/>
      <c r="D102" s="549"/>
      <c r="E102" s="549"/>
      <c r="F102" s="549"/>
      <c r="G102" s="549"/>
      <c r="H102" s="549"/>
      <c r="I102" s="549"/>
      <c r="J102" s="549"/>
      <c r="K102" s="549"/>
      <c r="L102" s="549"/>
      <c r="M102" s="549"/>
      <c r="N102" s="549"/>
      <c r="O102" s="549"/>
      <c r="P102" s="549"/>
      <c r="Q102" s="549"/>
      <c r="R102" s="549"/>
      <c r="S102" s="549"/>
      <c r="T102" s="549"/>
      <c r="U102" s="549"/>
      <c r="V102" s="363"/>
      <c r="W102" s="363"/>
      <c r="X102" s="363"/>
      <c r="Y102" s="363"/>
      <c r="Z102" s="363"/>
      <c r="AA102" s="363"/>
      <c r="AB102" s="363"/>
    </row>
    <row r="103" ht="15.6" spans="1:28">
      <c r="A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row>
    <row r="104" ht="15.6" spans="1:28">
      <c r="A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row>
    <row r="105" ht="15.6" spans="1:28">
      <c r="A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row>
    <row r="106" ht="15.6" spans="1:28">
      <c r="A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row>
    <row r="107" ht="15.6" spans="1:28">
      <c r="A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row>
    <row r="108" ht="15.6" spans="1:28">
      <c r="A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row>
    <row r="109" ht="15.6" spans="1:28">
      <c r="A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row>
    <row r="110" ht="15.6" spans="1:28">
      <c r="A110" s="368"/>
      <c r="B110" s="368"/>
      <c r="C110" s="368"/>
      <c r="D110" s="55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row>
    <row r="111" ht="15.6" spans="1:28">
      <c r="A111" s="368"/>
      <c r="B111" s="368" t="s">
        <v>103</v>
      </c>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row>
    <row r="112" ht="15.6" spans="1:28">
      <c r="A112" s="368"/>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row>
    <row r="113" ht="15.6" spans="1:28">
      <c r="A113" s="368"/>
      <c r="B113" s="368" t="s">
        <v>104</v>
      </c>
      <c r="C113" s="368"/>
      <c r="D113" s="559"/>
      <c r="E113" s="559"/>
      <c r="F113" s="559"/>
      <c r="G113" s="559"/>
      <c r="H113" s="559"/>
      <c r="I113" s="559"/>
      <c r="J113" s="559"/>
      <c r="K113" s="559"/>
      <c r="L113" s="559"/>
      <c r="M113" s="559"/>
      <c r="N113" s="582"/>
      <c r="O113" s="368"/>
      <c r="P113" s="582"/>
      <c r="Q113" s="582"/>
      <c r="R113" s="368"/>
      <c r="S113" s="368"/>
      <c r="T113" s="368"/>
      <c r="U113" s="368"/>
      <c r="V113" s="368"/>
      <c r="W113" s="368"/>
      <c r="X113" s="368"/>
      <c r="Y113" s="368"/>
      <c r="Z113" s="368"/>
      <c r="AA113" s="368"/>
      <c r="AB113" s="368"/>
    </row>
    <row r="114" ht="16.35" spans="1:28">
      <c r="A114" s="368"/>
      <c r="B114" s="368" t="s">
        <v>105</v>
      </c>
      <c r="C114" s="368"/>
      <c r="D114" s="560"/>
      <c r="E114" s="560"/>
      <c r="F114" s="560"/>
      <c r="G114" s="560"/>
      <c r="H114" s="560"/>
      <c r="I114" s="560"/>
      <c r="J114" s="583"/>
      <c r="K114" s="583"/>
      <c r="L114" s="583"/>
      <c r="M114" s="559"/>
      <c r="N114" s="582"/>
      <c r="O114" s="368"/>
      <c r="P114" s="559"/>
      <c r="Q114" s="582"/>
      <c r="R114" s="368"/>
      <c r="S114" s="368"/>
      <c r="T114" s="368"/>
      <c r="U114" s="368"/>
      <c r="V114" s="368"/>
      <c r="W114" s="368"/>
      <c r="X114" s="368"/>
      <c r="Y114" s="368"/>
      <c r="Z114" s="368"/>
      <c r="AA114" s="368"/>
      <c r="AB114" s="368"/>
    </row>
    <row r="115" ht="16.35" spans="2:28">
      <c r="B115" s="561">
        <f>D13*D14</f>
        <v>80</v>
      </c>
      <c r="C115" s="562">
        <f>1+D13+D14*0.2</f>
        <v>11</v>
      </c>
      <c r="D115" s="563" t="s">
        <v>106</v>
      </c>
      <c r="E115" s="563"/>
      <c r="F115" s="564">
        <f>1500</f>
        <v>1500</v>
      </c>
      <c r="G115" s="564">
        <v>1500</v>
      </c>
      <c r="H115" s="565">
        <v>1000</v>
      </c>
      <c r="I115" s="564">
        <v>0.5</v>
      </c>
      <c r="J115" s="584">
        <f>1200</f>
        <v>1200</v>
      </c>
      <c r="K115" s="564">
        <f>IF(G8=2,1000,3000)</f>
        <v>1000</v>
      </c>
      <c r="L115" s="585">
        <v>60</v>
      </c>
      <c r="M115" s="564">
        <v>36000</v>
      </c>
      <c r="P115" s="368"/>
      <c r="Q115" s="368"/>
      <c r="R115" s="368"/>
      <c r="S115" s="368"/>
      <c r="T115" s="368"/>
      <c r="U115" s="368"/>
      <c r="V115" s="368"/>
      <c r="W115" s="368"/>
      <c r="X115" s="368"/>
      <c r="Y115" s="368"/>
      <c r="Z115" s="368"/>
      <c r="AA115" s="368"/>
      <c r="AB115" s="368"/>
    </row>
    <row r="116" ht="16.35" spans="1:28">
      <c r="A116" s="368"/>
      <c r="B116" s="562" t="s">
        <v>107</v>
      </c>
      <c r="C116" s="566"/>
      <c r="D116" s="567" t="s">
        <v>108</v>
      </c>
      <c r="E116" s="567"/>
      <c r="F116" s="567" t="s">
        <v>109</v>
      </c>
      <c r="G116" s="567" t="s">
        <v>110</v>
      </c>
      <c r="H116" s="568" t="s">
        <v>111</v>
      </c>
      <c r="I116" s="567" t="s">
        <v>112</v>
      </c>
      <c r="J116" s="568" t="s">
        <v>69</v>
      </c>
      <c r="K116" s="567" t="s">
        <v>74</v>
      </c>
      <c r="L116" s="228" t="s">
        <v>113</v>
      </c>
      <c r="M116" s="567" t="s">
        <v>114</v>
      </c>
      <c r="O116" s="368"/>
      <c r="P116" s="368"/>
      <c r="Q116" s="368"/>
      <c r="R116" s="368"/>
      <c r="S116" s="368"/>
      <c r="T116" s="368"/>
      <c r="U116" s="368"/>
      <c r="V116" s="368"/>
      <c r="W116" s="368"/>
      <c r="X116" s="368"/>
      <c r="Y116" s="368"/>
      <c r="Z116" s="368"/>
      <c r="AA116" s="368"/>
      <c r="AB116" s="368"/>
    </row>
    <row r="117" ht="16.35" spans="1:28">
      <c r="A117" s="368"/>
      <c r="B117" s="562"/>
      <c r="C117" s="566"/>
      <c r="D117" s="567" t="s">
        <v>115</v>
      </c>
      <c r="E117" s="569" t="s">
        <v>116</v>
      </c>
      <c r="F117" s="568"/>
      <c r="G117" s="570"/>
      <c r="H117" s="568">
        <f>H115*D10/100</f>
        <v>1000</v>
      </c>
      <c r="I117" s="567">
        <f>D9*I115/100</f>
        <v>0</v>
      </c>
      <c r="J117" s="568">
        <f>J115*5.9/C115</f>
        <v>643.636363636364</v>
      </c>
      <c r="K117" s="567">
        <f>D13*J117</f>
        <v>1287.27272727273</v>
      </c>
      <c r="L117" s="586">
        <f>L115*D11/100</f>
        <v>12</v>
      </c>
      <c r="M117" s="567">
        <f>D14*K117</f>
        <v>51490.9090909091</v>
      </c>
      <c r="O117" s="368"/>
      <c r="P117" s="368"/>
      <c r="Q117" s="368"/>
      <c r="R117" s="368"/>
      <c r="S117" s="368"/>
      <c r="T117" s="368"/>
      <c r="U117" s="368"/>
      <c r="V117" s="368"/>
      <c r="W117" s="368"/>
      <c r="X117" s="368"/>
      <c r="Y117" s="368"/>
      <c r="Z117" s="368"/>
      <c r="AA117" s="368"/>
      <c r="AB117" s="368"/>
    </row>
    <row r="118" ht="16.35" spans="1:28">
      <c r="A118" s="368"/>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row>
    <row r="119" ht="15.6" spans="1:28">
      <c r="A119" s="368"/>
      <c r="B119" s="571" t="s">
        <v>117</v>
      </c>
      <c r="C119" s="572"/>
      <c r="D119" s="572"/>
      <c r="E119" s="572"/>
      <c r="F119" s="572"/>
      <c r="G119" s="572"/>
      <c r="H119" s="572"/>
      <c r="I119" s="572"/>
      <c r="J119" s="572"/>
      <c r="K119" s="572"/>
      <c r="L119" s="572"/>
      <c r="M119" s="572"/>
      <c r="N119" s="572"/>
      <c r="O119" s="587"/>
      <c r="P119" s="577"/>
      <c r="Q119" s="577"/>
      <c r="R119" s="368"/>
      <c r="S119" s="577"/>
      <c r="T119" s="577"/>
      <c r="U119" s="577"/>
      <c r="V119" s="368"/>
      <c r="W119" s="368"/>
      <c r="X119" s="368"/>
      <c r="Y119" s="368"/>
      <c r="Z119" s="368"/>
      <c r="AA119" s="368"/>
      <c r="AB119" s="368"/>
    </row>
    <row r="120" ht="15.6" spans="1:28">
      <c r="A120" s="368"/>
      <c r="B120" s="573"/>
      <c r="C120" s="574"/>
      <c r="D120" s="574"/>
      <c r="E120" s="574"/>
      <c r="F120" s="574"/>
      <c r="G120" s="574"/>
      <c r="H120" s="574"/>
      <c r="I120" s="574"/>
      <c r="J120" s="574"/>
      <c r="K120" s="574"/>
      <c r="L120" s="574"/>
      <c r="M120" s="574"/>
      <c r="N120" s="574"/>
      <c r="O120" s="588"/>
      <c r="P120" s="577"/>
      <c r="Q120" s="577"/>
      <c r="R120" s="368"/>
      <c r="S120" s="577"/>
      <c r="T120" s="577"/>
      <c r="U120" s="577"/>
      <c r="V120" s="368"/>
      <c r="W120" s="368"/>
      <c r="X120" s="368"/>
      <c r="Y120" s="368"/>
      <c r="Z120" s="368"/>
      <c r="AA120" s="368"/>
      <c r="AB120" s="368"/>
    </row>
    <row r="121" ht="15.6" spans="1:28">
      <c r="A121" s="368"/>
      <c r="B121" s="573"/>
      <c r="C121" s="574"/>
      <c r="D121" s="574"/>
      <c r="E121" s="574"/>
      <c r="F121" s="574"/>
      <c r="G121" s="574"/>
      <c r="H121" s="574"/>
      <c r="I121" s="574"/>
      <c r="J121" s="574"/>
      <c r="K121" s="574"/>
      <c r="L121" s="574"/>
      <c r="M121" s="574"/>
      <c r="N121" s="574"/>
      <c r="O121" s="588"/>
      <c r="P121" s="577"/>
      <c r="Q121" s="577"/>
      <c r="R121" s="368"/>
      <c r="S121" s="577"/>
      <c r="T121" s="577"/>
      <c r="U121" s="577"/>
      <c r="V121" s="368"/>
      <c r="W121" s="368"/>
      <c r="X121" s="368"/>
      <c r="Y121" s="368"/>
      <c r="Z121" s="368"/>
      <c r="AA121" s="368"/>
      <c r="AB121" s="368"/>
    </row>
    <row r="122" ht="15.6" spans="1:28">
      <c r="A122" s="368"/>
      <c r="B122" s="573"/>
      <c r="C122" s="574"/>
      <c r="D122" s="574"/>
      <c r="E122" s="574"/>
      <c r="F122" s="574"/>
      <c r="G122" s="574"/>
      <c r="H122" s="574"/>
      <c r="I122" s="574"/>
      <c r="J122" s="574"/>
      <c r="K122" s="574"/>
      <c r="L122" s="574"/>
      <c r="M122" s="574"/>
      <c r="N122" s="574"/>
      <c r="O122" s="588"/>
      <c r="P122" s="577"/>
      <c r="Q122" s="577"/>
      <c r="R122" s="368"/>
      <c r="S122" s="577"/>
      <c r="T122" s="577"/>
      <c r="U122" s="577"/>
      <c r="V122" s="368"/>
      <c r="W122" s="368"/>
      <c r="X122" s="368"/>
      <c r="Y122" s="368"/>
      <c r="Z122" s="368"/>
      <c r="AA122" s="368"/>
      <c r="AB122" s="368"/>
    </row>
    <row r="123" ht="15.6" spans="1:28">
      <c r="A123" s="368"/>
      <c r="B123" s="573"/>
      <c r="C123" s="574"/>
      <c r="D123" s="574"/>
      <c r="E123" s="574"/>
      <c r="F123" s="574"/>
      <c r="G123" s="574"/>
      <c r="H123" s="574"/>
      <c r="I123" s="574"/>
      <c r="J123" s="574"/>
      <c r="K123" s="574"/>
      <c r="L123" s="574"/>
      <c r="M123" s="574"/>
      <c r="N123" s="574"/>
      <c r="O123" s="588"/>
      <c r="P123" s="577"/>
      <c r="Q123" s="577"/>
      <c r="R123" s="368"/>
      <c r="S123" s="577"/>
      <c r="T123" s="577"/>
      <c r="U123" s="577"/>
      <c r="V123" s="368"/>
      <c r="W123" s="368"/>
      <c r="X123" s="368"/>
      <c r="Y123" s="368"/>
      <c r="Z123" s="368"/>
      <c r="AA123" s="368"/>
      <c r="AB123" s="368"/>
    </row>
    <row r="124" ht="15.6" spans="1:28">
      <c r="A124" s="368"/>
      <c r="B124" s="573"/>
      <c r="C124" s="574"/>
      <c r="D124" s="574"/>
      <c r="E124" s="574"/>
      <c r="F124" s="574"/>
      <c r="G124" s="574"/>
      <c r="H124" s="574"/>
      <c r="I124" s="574"/>
      <c r="J124" s="574"/>
      <c r="K124" s="574"/>
      <c r="L124" s="574"/>
      <c r="M124" s="574"/>
      <c r="N124" s="574"/>
      <c r="O124" s="588"/>
      <c r="P124" s="577"/>
      <c r="Q124" s="577"/>
      <c r="R124" s="368"/>
      <c r="S124" s="577"/>
      <c r="T124" s="577"/>
      <c r="U124" s="577"/>
      <c r="V124" s="368"/>
      <c r="W124" s="368"/>
      <c r="X124" s="368"/>
      <c r="Y124" s="368"/>
      <c r="Z124" s="368"/>
      <c r="AA124" s="368"/>
      <c r="AB124" s="368"/>
    </row>
    <row r="125" ht="16.35" spans="1:28">
      <c r="A125" s="368"/>
      <c r="B125" s="575"/>
      <c r="C125" s="576"/>
      <c r="D125" s="576"/>
      <c r="E125" s="576"/>
      <c r="F125" s="576"/>
      <c r="G125" s="576"/>
      <c r="H125" s="576"/>
      <c r="I125" s="576"/>
      <c r="J125" s="576"/>
      <c r="K125" s="576"/>
      <c r="L125" s="576"/>
      <c r="M125" s="576"/>
      <c r="N125" s="576"/>
      <c r="O125" s="589"/>
      <c r="P125" s="577"/>
      <c r="Q125" s="577"/>
      <c r="R125" s="368"/>
      <c r="S125" s="577"/>
      <c r="T125" s="577"/>
      <c r="U125" s="577"/>
      <c r="V125" s="368"/>
      <c r="W125" s="368"/>
      <c r="X125" s="368"/>
      <c r="Y125" s="368"/>
      <c r="Z125" s="368"/>
      <c r="AA125" s="368"/>
      <c r="AB125" s="368"/>
    </row>
    <row r="126" ht="16.35" spans="1:28">
      <c r="A126" s="368"/>
      <c r="B126" s="577"/>
      <c r="C126" s="577"/>
      <c r="D126" s="577"/>
      <c r="E126" s="577"/>
      <c r="F126" s="577"/>
      <c r="G126" s="577"/>
      <c r="H126" s="577"/>
      <c r="I126" s="577"/>
      <c r="J126" s="577"/>
      <c r="K126" s="577"/>
      <c r="L126" s="577"/>
      <c r="M126" s="577"/>
      <c r="N126" s="577"/>
      <c r="O126" s="577"/>
      <c r="P126" s="577"/>
      <c r="Q126" s="577"/>
      <c r="R126" s="368"/>
      <c r="S126" s="577"/>
      <c r="T126" s="577"/>
      <c r="U126" s="577"/>
      <c r="V126" s="368"/>
      <c r="W126" s="368"/>
      <c r="X126" s="368"/>
      <c r="Y126" s="368"/>
      <c r="Z126" s="368"/>
      <c r="AA126" s="368"/>
      <c r="AB126" s="368"/>
    </row>
    <row r="127" ht="15.6" spans="1:28">
      <c r="A127" s="368"/>
      <c r="B127" s="578" t="s">
        <v>118</v>
      </c>
      <c r="C127" s="579"/>
      <c r="D127" s="579"/>
      <c r="E127" s="579"/>
      <c r="F127" s="579"/>
      <c r="G127" s="579"/>
      <c r="H127" s="579"/>
      <c r="I127" s="579"/>
      <c r="J127" s="579"/>
      <c r="K127" s="579"/>
      <c r="L127" s="579"/>
      <c r="M127" s="579"/>
      <c r="N127" s="579"/>
      <c r="O127" s="590"/>
      <c r="P127" s="577"/>
      <c r="Q127" s="577"/>
      <c r="R127" s="368"/>
      <c r="S127" s="577"/>
      <c r="T127" s="577"/>
      <c r="U127" s="577"/>
      <c r="V127" s="368"/>
      <c r="W127" s="368"/>
      <c r="X127" s="368"/>
      <c r="Y127" s="368"/>
      <c r="Z127" s="368"/>
      <c r="AA127" s="368"/>
      <c r="AB127" s="368"/>
    </row>
    <row r="128" ht="15.6" spans="1:28">
      <c r="A128" s="368"/>
      <c r="B128" s="580"/>
      <c r="C128" s="577"/>
      <c r="D128" s="577"/>
      <c r="E128" s="577"/>
      <c r="F128" s="577"/>
      <c r="G128" s="577"/>
      <c r="H128" s="577"/>
      <c r="I128" s="577"/>
      <c r="J128" s="577"/>
      <c r="K128" s="577"/>
      <c r="L128" s="577"/>
      <c r="M128" s="577"/>
      <c r="N128" s="577"/>
      <c r="O128" s="591"/>
      <c r="P128" s="577"/>
      <c r="Q128" s="577"/>
      <c r="R128" s="368"/>
      <c r="S128" s="577"/>
      <c r="T128" s="577"/>
      <c r="U128" s="577"/>
      <c r="V128" s="368"/>
      <c r="W128" s="368"/>
      <c r="X128" s="368"/>
      <c r="Y128" s="368"/>
      <c r="Z128" s="368"/>
      <c r="AA128" s="368"/>
      <c r="AB128" s="368"/>
    </row>
    <row r="129" ht="15.6" spans="1:28">
      <c r="A129" s="368"/>
      <c r="B129" s="580"/>
      <c r="C129" s="577"/>
      <c r="D129" s="577"/>
      <c r="E129" s="577"/>
      <c r="F129" s="577"/>
      <c r="G129" s="577"/>
      <c r="H129" s="577"/>
      <c r="I129" s="577"/>
      <c r="J129" s="577"/>
      <c r="K129" s="577"/>
      <c r="L129" s="577"/>
      <c r="M129" s="577"/>
      <c r="N129" s="577"/>
      <c r="O129" s="591"/>
      <c r="P129" s="577"/>
      <c r="Q129" s="577"/>
      <c r="R129" s="368"/>
      <c r="S129" s="577"/>
      <c r="T129" s="577"/>
      <c r="U129" s="577"/>
      <c r="V129" s="368"/>
      <c r="W129" s="368"/>
      <c r="X129" s="368"/>
      <c r="Y129" s="368"/>
      <c r="Z129" s="368"/>
      <c r="AA129" s="368"/>
      <c r="AB129" s="368"/>
    </row>
    <row r="130" ht="15.6" spans="1:28">
      <c r="A130" s="368"/>
      <c r="B130" s="580"/>
      <c r="C130" s="577"/>
      <c r="D130" s="577"/>
      <c r="E130" s="577"/>
      <c r="F130" s="577"/>
      <c r="G130" s="577"/>
      <c r="H130" s="577"/>
      <c r="I130" s="577"/>
      <c r="J130" s="577"/>
      <c r="K130" s="577"/>
      <c r="L130" s="577"/>
      <c r="M130" s="577"/>
      <c r="N130" s="577"/>
      <c r="O130" s="591"/>
      <c r="P130" s="368"/>
      <c r="Q130" s="368"/>
      <c r="R130" s="368"/>
      <c r="S130" s="368"/>
      <c r="T130" s="368"/>
      <c r="U130" s="368"/>
      <c r="V130" s="368"/>
      <c r="W130" s="368"/>
      <c r="X130" s="368"/>
      <c r="Y130" s="368"/>
      <c r="Z130" s="368"/>
      <c r="AA130" s="368"/>
      <c r="AB130" s="368"/>
    </row>
    <row r="131" ht="16.35" spans="1:28">
      <c r="A131" s="368"/>
      <c r="B131" s="595"/>
      <c r="C131" s="596"/>
      <c r="D131" s="596"/>
      <c r="E131" s="596"/>
      <c r="F131" s="596"/>
      <c r="G131" s="596"/>
      <c r="H131" s="596"/>
      <c r="I131" s="596"/>
      <c r="J131" s="596"/>
      <c r="K131" s="596"/>
      <c r="L131" s="596"/>
      <c r="M131" s="596"/>
      <c r="N131" s="596"/>
      <c r="O131" s="607"/>
      <c r="P131" s="368"/>
      <c r="Q131" s="368"/>
      <c r="R131" s="368"/>
      <c r="S131" s="368"/>
      <c r="T131" s="368"/>
      <c r="U131" s="368"/>
      <c r="V131" s="368"/>
      <c r="W131" s="368"/>
      <c r="X131" s="368"/>
      <c r="Y131" s="368"/>
      <c r="Z131" s="368"/>
      <c r="AA131" s="368"/>
      <c r="AB131" s="368"/>
    </row>
    <row r="132" ht="16.35" spans="1:28">
      <c r="A132" s="368"/>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row>
    <row r="133" ht="15.6" spans="1:28">
      <c r="A133" s="368"/>
      <c r="B133" s="597" t="s">
        <v>119</v>
      </c>
      <c r="C133" s="598"/>
      <c r="D133" s="598"/>
      <c r="E133" s="598"/>
      <c r="F133" s="598"/>
      <c r="G133" s="598"/>
      <c r="H133" s="598"/>
      <c r="I133" s="598"/>
      <c r="J133" s="598"/>
      <c r="K133" s="598"/>
      <c r="L133" s="598"/>
      <c r="M133" s="598"/>
      <c r="N133" s="598"/>
      <c r="O133" s="608"/>
      <c r="P133" s="368"/>
      <c r="Q133" s="368"/>
      <c r="R133" s="368"/>
      <c r="S133" s="368"/>
      <c r="T133" s="368"/>
      <c r="U133" s="368"/>
      <c r="V133" s="368"/>
      <c r="W133" s="368"/>
      <c r="X133" s="368"/>
      <c r="Y133" s="368"/>
      <c r="Z133" s="368"/>
      <c r="AA133" s="368"/>
      <c r="AB133" s="368"/>
    </row>
    <row r="134" ht="15.6" spans="1:28">
      <c r="A134" s="368"/>
      <c r="B134" s="599" t="s">
        <v>120</v>
      </c>
      <c r="C134" s="600"/>
      <c r="D134" s="600"/>
      <c r="E134" s="600"/>
      <c r="F134" s="600"/>
      <c r="G134" s="600"/>
      <c r="H134" s="600"/>
      <c r="I134" s="600"/>
      <c r="J134" s="600"/>
      <c r="K134" s="600"/>
      <c r="L134" s="600"/>
      <c r="M134" s="600"/>
      <c r="N134" s="600"/>
      <c r="O134" s="609"/>
      <c r="P134" s="368"/>
      <c r="Q134" s="368"/>
      <c r="R134" s="368"/>
      <c r="S134" s="368"/>
      <c r="T134" s="368"/>
      <c r="U134" s="368"/>
      <c r="V134" s="368"/>
      <c r="W134" s="368"/>
      <c r="X134" s="368"/>
      <c r="Y134" s="368"/>
      <c r="Z134" s="368"/>
      <c r="AA134" s="368"/>
      <c r="AB134" s="368"/>
    </row>
    <row r="135" ht="15.6" spans="1:28">
      <c r="A135" s="368"/>
      <c r="B135" s="599" t="s">
        <v>121</v>
      </c>
      <c r="C135" s="600"/>
      <c r="D135" s="600"/>
      <c r="E135" s="600"/>
      <c r="F135" s="600"/>
      <c r="G135" s="600"/>
      <c r="H135" s="600"/>
      <c r="I135" s="600"/>
      <c r="J135" s="600"/>
      <c r="K135" s="600"/>
      <c r="L135" s="600"/>
      <c r="M135" s="600"/>
      <c r="N135" s="600"/>
      <c r="O135" s="609"/>
      <c r="P135" s="368"/>
      <c r="Q135" s="368"/>
      <c r="R135" s="368"/>
      <c r="S135" s="368"/>
      <c r="T135" s="368"/>
      <c r="U135" s="368"/>
      <c r="V135" s="368"/>
      <c r="W135" s="368"/>
      <c r="X135" s="368"/>
      <c r="Y135" s="368"/>
      <c r="Z135" s="368"/>
      <c r="AA135" s="368"/>
      <c r="AB135" s="368"/>
    </row>
    <row r="136" ht="15.6" spans="1:28">
      <c r="A136" s="368"/>
      <c r="B136" s="601" t="s">
        <v>122</v>
      </c>
      <c r="C136" s="600"/>
      <c r="D136" s="600"/>
      <c r="E136" s="600"/>
      <c r="F136" s="600"/>
      <c r="G136" s="600"/>
      <c r="H136" s="600"/>
      <c r="I136" s="600"/>
      <c r="J136" s="600"/>
      <c r="K136" s="600"/>
      <c r="L136" s="600"/>
      <c r="M136" s="600"/>
      <c r="N136" s="600"/>
      <c r="O136" s="609"/>
      <c r="P136" s="368"/>
      <c r="Q136" s="368"/>
      <c r="R136" s="368"/>
      <c r="S136" s="368"/>
      <c r="T136" s="368"/>
      <c r="U136" s="368"/>
      <c r="V136" s="368"/>
      <c r="W136" s="368"/>
      <c r="X136" s="368"/>
      <c r="Y136" s="368"/>
      <c r="Z136" s="368"/>
      <c r="AA136" s="368"/>
      <c r="AB136" s="368"/>
    </row>
    <row r="137" ht="15.6" spans="1:28">
      <c r="A137" s="368"/>
      <c r="B137" s="599" t="s">
        <v>123</v>
      </c>
      <c r="C137" s="600"/>
      <c r="D137" s="600"/>
      <c r="E137" s="600"/>
      <c r="F137" s="600"/>
      <c r="G137" s="600"/>
      <c r="H137" s="600"/>
      <c r="I137" s="600"/>
      <c r="J137" s="600"/>
      <c r="K137" s="600"/>
      <c r="L137" s="600"/>
      <c r="M137" s="600"/>
      <c r="N137" s="600"/>
      <c r="O137" s="609"/>
      <c r="P137" s="368"/>
      <c r="Q137" s="368"/>
      <c r="R137" s="368"/>
      <c r="S137" s="368"/>
      <c r="T137" s="368"/>
      <c r="U137" s="368"/>
      <c r="V137" s="368"/>
      <c r="W137" s="368"/>
      <c r="X137" s="368"/>
      <c r="Y137" s="368"/>
      <c r="Z137" s="368"/>
      <c r="AA137" s="368"/>
      <c r="AB137" s="368"/>
    </row>
    <row r="138" ht="15.6" spans="1:28">
      <c r="A138" s="368"/>
      <c r="B138" s="599" t="s">
        <v>124</v>
      </c>
      <c r="C138" s="600"/>
      <c r="D138" s="600"/>
      <c r="E138" s="600"/>
      <c r="F138" s="600"/>
      <c r="G138" s="600"/>
      <c r="H138" s="600"/>
      <c r="I138" s="600"/>
      <c r="J138" s="600"/>
      <c r="K138" s="600"/>
      <c r="L138" s="600"/>
      <c r="M138" s="600"/>
      <c r="N138" s="600"/>
      <c r="O138" s="609"/>
      <c r="P138" s="368"/>
      <c r="Q138" s="368"/>
      <c r="R138" s="368"/>
      <c r="S138" s="368"/>
      <c r="T138" s="368"/>
      <c r="U138" s="368"/>
      <c r="V138" s="368"/>
      <c r="W138" s="368"/>
      <c r="X138" s="368"/>
      <c r="Y138" s="368"/>
      <c r="Z138" s="368"/>
      <c r="AA138" s="368"/>
      <c r="AB138" s="368"/>
    </row>
    <row r="139" ht="15.6" spans="1:28">
      <c r="A139" s="368"/>
      <c r="B139" s="599" t="s">
        <v>125</v>
      </c>
      <c r="C139" s="600"/>
      <c r="D139" s="600"/>
      <c r="E139" s="600"/>
      <c r="F139" s="600"/>
      <c r="G139" s="600"/>
      <c r="H139" s="600"/>
      <c r="I139" s="600"/>
      <c r="J139" s="600"/>
      <c r="K139" s="600"/>
      <c r="L139" s="600"/>
      <c r="M139" s="600"/>
      <c r="N139" s="600"/>
      <c r="O139" s="609"/>
      <c r="P139" s="368"/>
      <c r="Q139" s="368"/>
      <c r="R139" s="368"/>
      <c r="S139" s="368"/>
      <c r="T139" s="368"/>
      <c r="U139" s="368"/>
      <c r="V139" s="368"/>
      <c r="W139" s="368"/>
      <c r="X139" s="368"/>
      <c r="Y139" s="368"/>
      <c r="Z139" s="368"/>
      <c r="AA139" s="368"/>
      <c r="AB139" s="368"/>
    </row>
    <row r="140" ht="15.6" spans="1:28">
      <c r="A140" s="368"/>
      <c r="B140" s="599" t="s">
        <v>126</v>
      </c>
      <c r="C140" s="600"/>
      <c r="D140" s="600"/>
      <c r="E140" s="600"/>
      <c r="F140" s="600"/>
      <c r="G140" s="600"/>
      <c r="H140" s="600"/>
      <c r="I140" s="600"/>
      <c r="J140" s="600"/>
      <c r="K140" s="600"/>
      <c r="L140" s="600"/>
      <c r="M140" s="600"/>
      <c r="N140" s="600"/>
      <c r="O140" s="609"/>
      <c r="P140" s="368"/>
      <c r="Q140" s="368"/>
      <c r="R140" s="368"/>
      <c r="S140" s="368"/>
      <c r="T140" s="368"/>
      <c r="U140" s="368"/>
      <c r="V140" s="368"/>
      <c r="W140" s="368"/>
      <c r="X140" s="368"/>
      <c r="Y140" s="368"/>
      <c r="Z140" s="368"/>
      <c r="AA140" s="368"/>
      <c r="AB140" s="368"/>
    </row>
    <row r="141" ht="15.6" spans="1:28">
      <c r="A141" s="368"/>
      <c r="B141" s="599" t="s">
        <v>127</v>
      </c>
      <c r="C141" s="600"/>
      <c r="D141" s="600"/>
      <c r="E141" s="600"/>
      <c r="F141" s="600"/>
      <c r="G141" s="600"/>
      <c r="H141" s="600"/>
      <c r="I141" s="600"/>
      <c r="J141" s="600"/>
      <c r="K141" s="600"/>
      <c r="L141" s="600"/>
      <c r="M141" s="600"/>
      <c r="N141" s="600"/>
      <c r="O141" s="609"/>
      <c r="P141" s="368"/>
      <c r="Q141" s="368"/>
      <c r="R141" s="368"/>
      <c r="S141" s="368"/>
      <c r="T141" s="368"/>
      <c r="U141" s="368"/>
      <c r="V141" s="368"/>
      <c r="W141" s="368"/>
      <c r="X141" s="368"/>
      <c r="Y141" s="368"/>
      <c r="Z141" s="368"/>
      <c r="AA141" s="368"/>
      <c r="AB141" s="368"/>
    </row>
    <row r="142" ht="15.6" spans="1:28">
      <c r="A142" s="368"/>
      <c r="B142" s="599" t="s">
        <v>128</v>
      </c>
      <c r="C142" s="600"/>
      <c r="D142" s="600"/>
      <c r="E142" s="600"/>
      <c r="F142" s="600"/>
      <c r="G142" s="600"/>
      <c r="H142" s="600"/>
      <c r="I142" s="600"/>
      <c r="J142" s="600"/>
      <c r="K142" s="600"/>
      <c r="L142" s="600"/>
      <c r="M142" s="600"/>
      <c r="N142" s="600"/>
      <c r="O142" s="609"/>
      <c r="P142" s="368"/>
      <c r="Q142" s="368"/>
      <c r="R142" s="368"/>
      <c r="S142" s="368"/>
      <c r="T142" s="368"/>
      <c r="U142" s="368"/>
      <c r="V142" s="368"/>
      <c r="W142" s="368"/>
      <c r="X142" s="368"/>
      <c r="Y142" s="368"/>
      <c r="Z142" s="368"/>
      <c r="AA142" s="368"/>
      <c r="AB142" s="368"/>
    </row>
    <row r="143" ht="15.6" spans="1:28">
      <c r="A143" s="368"/>
      <c r="B143" s="599" t="s">
        <v>129</v>
      </c>
      <c r="C143" s="600"/>
      <c r="D143" s="600"/>
      <c r="E143" s="600"/>
      <c r="F143" s="600"/>
      <c r="G143" s="600"/>
      <c r="H143" s="600"/>
      <c r="I143" s="600"/>
      <c r="J143" s="600"/>
      <c r="K143" s="600"/>
      <c r="L143" s="600"/>
      <c r="M143" s="600"/>
      <c r="N143" s="600"/>
      <c r="O143" s="609"/>
      <c r="P143" s="368"/>
      <c r="Q143" s="368"/>
      <c r="R143" s="368"/>
      <c r="S143" s="368"/>
      <c r="T143" s="368"/>
      <c r="U143" s="368"/>
      <c r="V143" s="368"/>
      <c r="W143" s="368"/>
      <c r="X143" s="368"/>
      <c r="Y143" s="368"/>
      <c r="Z143" s="368"/>
      <c r="AA143" s="368"/>
      <c r="AB143" s="368"/>
    </row>
    <row r="144" ht="15.6" spans="1:28">
      <c r="A144" s="368"/>
      <c r="B144" s="599" t="s">
        <v>130</v>
      </c>
      <c r="C144" s="600"/>
      <c r="D144" s="600"/>
      <c r="E144" s="600"/>
      <c r="F144" s="600"/>
      <c r="G144" s="600"/>
      <c r="H144" s="600"/>
      <c r="I144" s="600"/>
      <c r="J144" s="600"/>
      <c r="K144" s="600"/>
      <c r="L144" s="600"/>
      <c r="M144" s="600"/>
      <c r="N144" s="600"/>
      <c r="O144" s="609"/>
      <c r="P144" s="368"/>
      <c r="Q144" s="368"/>
      <c r="R144" s="368"/>
      <c r="S144" s="368"/>
      <c r="T144" s="368"/>
      <c r="U144" s="368"/>
      <c r="V144" s="368"/>
      <c r="W144" s="368"/>
      <c r="X144" s="368"/>
      <c r="Y144" s="368"/>
      <c r="Z144" s="368"/>
      <c r="AA144" s="368"/>
      <c r="AB144" s="368"/>
    </row>
    <row r="145" ht="15.6" spans="1:28">
      <c r="A145" s="368"/>
      <c r="B145" s="599" t="s">
        <v>131</v>
      </c>
      <c r="C145" s="600"/>
      <c r="D145" s="600"/>
      <c r="E145" s="600"/>
      <c r="F145" s="600"/>
      <c r="G145" s="600"/>
      <c r="H145" s="600"/>
      <c r="I145" s="600"/>
      <c r="J145" s="600"/>
      <c r="K145" s="600"/>
      <c r="L145" s="600"/>
      <c r="M145" s="600"/>
      <c r="N145" s="600"/>
      <c r="O145" s="609"/>
      <c r="P145" s="368"/>
      <c r="Q145" s="368"/>
      <c r="R145" s="368"/>
      <c r="S145" s="368"/>
      <c r="T145" s="368"/>
      <c r="U145" s="368"/>
      <c r="V145" s="368"/>
      <c r="W145" s="368"/>
      <c r="X145" s="368"/>
      <c r="Y145" s="368"/>
      <c r="Z145" s="368"/>
      <c r="AA145" s="368"/>
      <c r="AB145" s="368"/>
    </row>
    <row r="146" ht="15.6" spans="1:28">
      <c r="A146" s="368"/>
      <c r="B146" s="599" t="s">
        <v>132</v>
      </c>
      <c r="C146" s="600"/>
      <c r="D146" s="600"/>
      <c r="E146" s="600"/>
      <c r="F146" s="600"/>
      <c r="G146" s="600"/>
      <c r="H146" s="600"/>
      <c r="I146" s="600"/>
      <c r="J146" s="600"/>
      <c r="K146" s="600"/>
      <c r="L146" s="600"/>
      <c r="M146" s="600"/>
      <c r="N146" s="600"/>
      <c r="O146" s="609"/>
      <c r="P146" s="368"/>
      <c r="Q146" s="368"/>
      <c r="R146" s="368"/>
      <c r="S146" s="368"/>
      <c r="T146" s="368"/>
      <c r="U146" s="368"/>
      <c r="V146" s="368"/>
      <c r="W146" s="368"/>
      <c r="X146" s="368"/>
      <c r="Y146" s="368"/>
      <c r="Z146" s="368"/>
      <c r="AA146" s="368"/>
      <c r="AB146" s="368"/>
    </row>
    <row r="147" ht="15.6" spans="1:28">
      <c r="A147" s="368"/>
      <c r="B147" s="599" t="s">
        <v>133</v>
      </c>
      <c r="C147" s="600"/>
      <c r="D147" s="600"/>
      <c r="E147" s="600"/>
      <c r="F147" s="600"/>
      <c r="G147" s="600"/>
      <c r="H147" s="600"/>
      <c r="I147" s="600"/>
      <c r="J147" s="600"/>
      <c r="K147" s="600"/>
      <c r="L147" s="600"/>
      <c r="M147" s="600"/>
      <c r="N147" s="600"/>
      <c r="O147" s="609"/>
      <c r="P147" s="368"/>
      <c r="Q147" s="368"/>
      <c r="R147" s="368"/>
      <c r="S147" s="368"/>
      <c r="T147" s="368"/>
      <c r="U147" s="368"/>
      <c r="V147" s="368"/>
      <c r="W147" s="368"/>
      <c r="X147" s="368"/>
      <c r="Y147" s="368"/>
      <c r="Z147" s="368"/>
      <c r="AA147" s="368"/>
      <c r="AB147" s="368"/>
    </row>
    <row r="148" ht="15.6" spans="1:28">
      <c r="A148" s="368"/>
      <c r="B148" s="602" t="s">
        <v>134</v>
      </c>
      <c r="C148" s="603"/>
      <c r="D148" s="603"/>
      <c r="E148" s="603"/>
      <c r="F148" s="603"/>
      <c r="G148" s="603"/>
      <c r="H148" s="603"/>
      <c r="I148" s="603"/>
      <c r="J148" s="603"/>
      <c r="K148" s="603"/>
      <c r="L148" s="603"/>
      <c r="M148" s="603"/>
      <c r="N148" s="603"/>
      <c r="O148" s="610"/>
      <c r="P148" s="368"/>
      <c r="Q148" s="368"/>
      <c r="R148" s="368"/>
      <c r="S148" s="368"/>
      <c r="T148" s="368"/>
      <c r="U148" s="368"/>
      <c r="V148" s="368"/>
      <c r="W148" s="368"/>
      <c r="X148" s="368"/>
      <c r="Y148" s="368"/>
      <c r="Z148" s="368"/>
      <c r="AA148" s="368"/>
      <c r="AB148" s="368"/>
    </row>
    <row r="149" ht="15.6" spans="1:28">
      <c r="A149" s="368"/>
      <c r="B149" s="602" t="s">
        <v>135</v>
      </c>
      <c r="C149" s="603"/>
      <c r="D149" s="603"/>
      <c r="E149" s="603"/>
      <c r="F149" s="603"/>
      <c r="G149" s="603"/>
      <c r="H149" s="603"/>
      <c r="I149" s="603"/>
      <c r="J149" s="603"/>
      <c r="K149" s="603"/>
      <c r="L149" s="603"/>
      <c r="M149" s="603"/>
      <c r="N149" s="603"/>
      <c r="O149" s="610"/>
      <c r="P149" s="368"/>
      <c r="Q149" s="368"/>
      <c r="R149" s="368"/>
      <c r="S149" s="368"/>
      <c r="T149" s="368"/>
      <c r="U149" s="368"/>
      <c r="V149" s="368"/>
      <c r="W149" s="368"/>
      <c r="X149" s="368"/>
      <c r="Y149" s="368"/>
      <c r="Z149" s="368"/>
      <c r="AA149" s="368"/>
      <c r="AB149" s="368"/>
    </row>
    <row r="150" ht="15.6" spans="1:28">
      <c r="A150" s="368"/>
      <c r="B150" s="602" t="s">
        <v>136</v>
      </c>
      <c r="C150" s="603"/>
      <c r="D150" s="603"/>
      <c r="E150" s="603"/>
      <c r="F150" s="603"/>
      <c r="G150" s="603"/>
      <c r="H150" s="603"/>
      <c r="I150" s="603"/>
      <c r="J150" s="603"/>
      <c r="K150" s="603"/>
      <c r="L150" s="603"/>
      <c r="M150" s="603"/>
      <c r="N150" s="603"/>
      <c r="O150" s="610"/>
      <c r="P150" s="368"/>
      <c r="Q150" s="368"/>
      <c r="R150" s="368"/>
      <c r="S150" s="368"/>
      <c r="T150" s="368"/>
      <c r="U150" s="368"/>
      <c r="V150" s="368"/>
      <c r="W150" s="368"/>
      <c r="X150" s="368"/>
      <c r="Y150" s="368"/>
      <c r="Z150" s="368"/>
      <c r="AA150" s="368"/>
      <c r="AB150" s="368"/>
    </row>
    <row r="151" ht="15.6" spans="1:28">
      <c r="A151" s="368"/>
      <c r="B151" s="602" t="s">
        <v>137</v>
      </c>
      <c r="C151" s="603"/>
      <c r="D151" s="603"/>
      <c r="E151" s="603"/>
      <c r="F151" s="603"/>
      <c r="G151" s="603"/>
      <c r="H151" s="603"/>
      <c r="I151" s="603"/>
      <c r="J151" s="603"/>
      <c r="K151" s="603"/>
      <c r="L151" s="603"/>
      <c r="M151" s="603"/>
      <c r="N151" s="603"/>
      <c r="O151" s="610"/>
      <c r="P151" s="368"/>
      <c r="Q151" s="368"/>
      <c r="R151" s="368"/>
      <c r="S151" s="368"/>
      <c r="T151" s="368"/>
      <c r="U151" s="368"/>
      <c r="V151" s="368"/>
      <c r="W151" s="368"/>
      <c r="X151" s="368"/>
      <c r="Y151" s="368"/>
      <c r="Z151" s="368"/>
      <c r="AA151" s="368"/>
      <c r="AB151" s="368"/>
    </row>
    <row r="152" ht="15.6" spans="1:28">
      <c r="A152" s="368"/>
      <c r="B152" s="602" t="s">
        <v>138</v>
      </c>
      <c r="C152" s="603"/>
      <c r="D152" s="603"/>
      <c r="E152" s="603"/>
      <c r="F152" s="603"/>
      <c r="G152" s="603"/>
      <c r="H152" s="603"/>
      <c r="I152" s="603"/>
      <c r="J152" s="603"/>
      <c r="K152" s="603"/>
      <c r="L152" s="603"/>
      <c r="M152" s="603"/>
      <c r="N152" s="603"/>
      <c r="O152" s="610"/>
      <c r="P152" s="368"/>
      <c r="Q152" s="368"/>
      <c r="R152" s="368"/>
      <c r="S152" s="368"/>
      <c r="T152" s="368"/>
      <c r="U152" s="368"/>
      <c r="V152" s="368"/>
      <c r="W152" s="368"/>
      <c r="X152" s="368"/>
      <c r="Y152" s="368"/>
      <c r="Z152" s="368"/>
      <c r="AA152" s="368"/>
      <c r="AB152" s="368"/>
    </row>
    <row r="153" spans="2:15">
      <c r="B153" s="601" t="s">
        <v>139</v>
      </c>
      <c r="C153" s="604"/>
      <c r="D153" s="604"/>
      <c r="E153" s="604"/>
      <c r="F153" s="604"/>
      <c r="G153" s="604"/>
      <c r="H153" s="604"/>
      <c r="I153" s="604"/>
      <c r="J153" s="604"/>
      <c r="K153" s="604"/>
      <c r="L153" s="604"/>
      <c r="M153" s="604"/>
      <c r="N153" s="604"/>
      <c r="O153" s="611"/>
    </row>
    <row r="154" spans="2:15">
      <c r="B154" s="601" t="s">
        <v>140</v>
      </c>
      <c r="C154" s="604"/>
      <c r="D154" s="604"/>
      <c r="E154" s="604"/>
      <c r="F154" s="604"/>
      <c r="G154" s="604"/>
      <c r="H154" s="604"/>
      <c r="I154" s="604"/>
      <c r="J154" s="604"/>
      <c r="K154" s="604"/>
      <c r="L154" s="604"/>
      <c r="M154" s="604"/>
      <c r="N154" s="604"/>
      <c r="O154" s="611"/>
    </row>
    <row r="155" spans="2:15">
      <c r="B155" s="601" t="s">
        <v>141</v>
      </c>
      <c r="C155" s="604"/>
      <c r="D155" s="604"/>
      <c r="E155" s="604"/>
      <c r="F155" s="604"/>
      <c r="G155" s="604"/>
      <c r="H155" s="604"/>
      <c r="I155" s="604"/>
      <c r="J155" s="604"/>
      <c r="K155" s="604"/>
      <c r="L155" s="604"/>
      <c r="M155" s="604"/>
      <c r="N155" s="604"/>
      <c r="O155" s="611"/>
    </row>
    <row r="156" spans="2:15">
      <c r="B156" s="601" t="s">
        <v>142</v>
      </c>
      <c r="C156" s="604"/>
      <c r="D156" s="604"/>
      <c r="E156" s="604"/>
      <c r="F156" s="604"/>
      <c r="G156" s="604"/>
      <c r="H156" s="604"/>
      <c r="I156" s="604"/>
      <c r="J156" s="604"/>
      <c r="K156" s="604"/>
      <c r="L156" s="604"/>
      <c r="M156" s="604"/>
      <c r="N156" s="604"/>
      <c r="O156" s="611"/>
    </row>
    <row r="157" spans="2:15">
      <c r="B157" s="601" t="s">
        <v>143</v>
      </c>
      <c r="C157" s="604"/>
      <c r="D157" s="604"/>
      <c r="E157" s="604"/>
      <c r="F157" s="604"/>
      <c r="G157" s="604"/>
      <c r="H157" s="604"/>
      <c r="I157" s="604"/>
      <c r="J157" s="604"/>
      <c r="K157" s="604"/>
      <c r="L157" s="604"/>
      <c r="M157" s="604"/>
      <c r="N157" s="604"/>
      <c r="O157" s="611"/>
    </row>
    <row r="158" spans="2:15">
      <c r="B158" s="601" t="s">
        <v>144</v>
      </c>
      <c r="C158" s="604"/>
      <c r="D158" s="604"/>
      <c r="E158" s="604"/>
      <c r="F158" s="604"/>
      <c r="G158" s="604"/>
      <c r="H158" s="604"/>
      <c r="I158" s="604"/>
      <c r="J158" s="604"/>
      <c r="K158" s="604"/>
      <c r="L158" s="604"/>
      <c r="M158" s="604"/>
      <c r="N158" s="604"/>
      <c r="O158" s="611"/>
    </row>
    <row r="159" spans="2:15">
      <c r="B159" s="601" t="s">
        <v>145</v>
      </c>
      <c r="C159" s="604"/>
      <c r="D159" s="604"/>
      <c r="E159" s="604"/>
      <c r="F159" s="604"/>
      <c r="G159" s="604"/>
      <c r="H159" s="604"/>
      <c r="I159" s="604"/>
      <c r="J159" s="604"/>
      <c r="K159" s="604"/>
      <c r="L159" s="604"/>
      <c r="M159" s="604"/>
      <c r="N159" s="604"/>
      <c r="O159" s="611"/>
    </row>
    <row r="160" spans="2:15">
      <c r="B160" s="601" t="s">
        <v>146</v>
      </c>
      <c r="C160" s="604"/>
      <c r="D160" s="604"/>
      <c r="E160" s="604"/>
      <c r="F160" s="604"/>
      <c r="G160" s="604"/>
      <c r="H160" s="604"/>
      <c r="I160" s="604"/>
      <c r="J160" s="604"/>
      <c r="K160" s="604"/>
      <c r="L160" s="604"/>
      <c r="M160" s="604"/>
      <c r="N160" s="604"/>
      <c r="O160" s="611"/>
    </row>
    <row r="161" spans="2:15">
      <c r="B161" s="601" t="s">
        <v>147</v>
      </c>
      <c r="C161" s="604"/>
      <c r="D161" s="604"/>
      <c r="E161" s="604"/>
      <c r="F161" s="604"/>
      <c r="G161" s="604"/>
      <c r="H161" s="604"/>
      <c r="I161" s="604"/>
      <c r="J161" s="604"/>
      <c r="K161" s="604"/>
      <c r="L161" s="604"/>
      <c r="M161" s="604"/>
      <c r="N161" s="604"/>
      <c r="O161" s="611"/>
    </row>
    <row r="162" spans="2:15">
      <c r="B162" s="601" t="s">
        <v>148</v>
      </c>
      <c r="C162" s="604"/>
      <c r="D162" s="604"/>
      <c r="E162" s="604"/>
      <c r="F162" s="604"/>
      <c r="G162" s="604"/>
      <c r="H162" s="604"/>
      <c r="I162" s="604"/>
      <c r="J162" s="604"/>
      <c r="K162" s="604"/>
      <c r="L162" s="604"/>
      <c r="M162" s="604"/>
      <c r="N162" s="604"/>
      <c r="O162" s="611"/>
    </row>
    <row r="163" spans="2:15">
      <c r="B163" s="601" t="s">
        <v>149</v>
      </c>
      <c r="C163" s="604"/>
      <c r="D163" s="604"/>
      <c r="E163" s="604"/>
      <c r="F163" s="604"/>
      <c r="G163" s="604"/>
      <c r="H163" s="604"/>
      <c r="I163" s="604"/>
      <c r="J163" s="604"/>
      <c r="K163" s="604"/>
      <c r="L163" s="604"/>
      <c r="M163" s="604"/>
      <c r="N163" s="604"/>
      <c r="O163" s="611"/>
    </row>
    <row r="164" ht="15.15" spans="2:15">
      <c r="B164" s="605"/>
      <c r="C164" s="606"/>
      <c r="D164" s="606"/>
      <c r="E164" s="606"/>
      <c r="F164" s="606"/>
      <c r="G164" s="606"/>
      <c r="H164" s="606"/>
      <c r="I164" s="606"/>
      <c r="J164" s="606"/>
      <c r="K164" s="606"/>
      <c r="L164" s="606"/>
      <c r="M164" s="606"/>
      <c r="N164" s="606"/>
      <c r="O164" s="612"/>
    </row>
  </sheetData>
  <mergeCells count="114">
    <mergeCell ref="C5:E5"/>
    <mergeCell ref="F5:I5"/>
    <mergeCell ref="J5:M5"/>
    <mergeCell ref="B6:C6"/>
    <mergeCell ref="E6:F6"/>
    <mergeCell ref="H6:M6"/>
    <mergeCell ref="N6:O6"/>
    <mergeCell ref="P6:Q6"/>
    <mergeCell ref="B7:C7"/>
    <mergeCell ref="E7:F7"/>
    <mergeCell ref="N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M29"/>
    <mergeCell ref="N29:O29"/>
    <mergeCell ref="B30:C30"/>
    <mergeCell ref="D30:E30"/>
    <mergeCell ref="F30:G30"/>
    <mergeCell ref="H30:I30"/>
    <mergeCell ref="J30:K30"/>
    <mergeCell ref="L30:M30"/>
    <mergeCell ref="B31:C31"/>
    <mergeCell ref="D31:E31"/>
    <mergeCell ref="F31:G31"/>
    <mergeCell ref="H31:I31"/>
    <mergeCell ref="J31:K31"/>
    <mergeCell ref="L31:M31"/>
    <mergeCell ref="N31:P31"/>
    <mergeCell ref="B32:C32"/>
    <mergeCell ref="D32:E32"/>
    <mergeCell ref="F32:G32"/>
    <mergeCell ref="H32:I32"/>
    <mergeCell ref="J32:K32"/>
    <mergeCell ref="L32:M32"/>
    <mergeCell ref="N32:P32"/>
    <mergeCell ref="B33:H33"/>
    <mergeCell ref="I33:P33"/>
    <mergeCell ref="B49:H49"/>
    <mergeCell ref="I49:P49"/>
    <mergeCell ref="E117:G117"/>
    <mergeCell ref="B15:B28"/>
    <mergeCell ref="K15:K28"/>
    <mergeCell ref="E2:N3"/>
    <mergeCell ref="B1:C2"/>
    <mergeCell ref="Q2:S3"/>
    <mergeCell ref="R6:S14"/>
    <mergeCell ref="Q29:R30"/>
    <mergeCell ref="B34:H48"/>
    <mergeCell ref="I34:P48"/>
    <mergeCell ref="I50:P65"/>
    <mergeCell ref="B119:O125"/>
    <mergeCell ref="B127:O131"/>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R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R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R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R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R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R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R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R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R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R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R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R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R28">
    <cfRule type="expression" dxfId="1" priority="9">
      <formula>$P$28&gt;$M$14</formula>
    </cfRule>
  </conditionalFormatting>
  <conditionalFormatting sqref="Q29">
    <cfRule type="expression" dxfId="2"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K20" sqref="K20"/>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98"/>
      <c r="B1" s="298"/>
      <c r="C1" s="298"/>
      <c r="D1" s="298"/>
      <c r="E1" s="298"/>
      <c r="F1" s="298"/>
      <c r="G1" s="298"/>
      <c r="H1" s="298"/>
      <c r="I1" s="298"/>
      <c r="J1" s="298"/>
      <c r="K1" s="298"/>
      <c r="L1" s="298"/>
      <c r="M1" s="298"/>
      <c r="N1" s="298"/>
      <c r="O1" s="298"/>
      <c r="P1" s="298"/>
      <c r="Q1" s="298"/>
      <c r="R1" s="298"/>
      <c r="S1" s="298"/>
    </row>
    <row r="2" ht="15.15" spans="1:19">
      <c r="A2" s="298"/>
      <c r="B2" s="298"/>
      <c r="C2" s="298"/>
      <c r="D2" s="298"/>
      <c r="E2" s="318" t="s">
        <v>150</v>
      </c>
      <c r="F2" s="319" t="s">
        <v>151</v>
      </c>
      <c r="G2" s="320" t="s">
        <v>150</v>
      </c>
      <c r="H2" s="321" t="s">
        <v>151</v>
      </c>
      <c r="I2" s="298"/>
      <c r="J2" s="298"/>
      <c r="K2" s="298"/>
      <c r="L2" s="298"/>
      <c r="M2" s="298"/>
      <c r="N2" s="298"/>
      <c r="O2" s="298"/>
      <c r="P2" s="298"/>
      <c r="Q2" s="298"/>
      <c r="R2" s="298"/>
      <c r="S2" s="298"/>
    </row>
    <row r="3" spans="1:19">
      <c r="A3" s="298"/>
      <c r="B3" s="298"/>
      <c r="C3" s="298"/>
      <c r="D3" s="298"/>
      <c r="E3" s="322">
        <v>1</v>
      </c>
      <c r="F3" s="323" t="str">
        <f ca="1">VLOOKUP(1,当前时间策略!Q3:R29,2,0)</f>
        <v>舰装解析0.5h</v>
      </c>
      <c r="G3" s="322">
        <v>15</v>
      </c>
      <c r="H3" s="324" t="str">
        <f ca="1">VLOOKUP(15,当前时间策略!Q3:R29,2,0)</f>
        <v>试验品募集2h蓝</v>
      </c>
      <c r="I3" s="298"/>
      <c r="J3" s="298"/>
      <c r="K3" s="298"/>
      <c r="L3" s="298"/>
      <c r="M3" s="298"/>
      <c r="N3" s="298"/>
      <c r="O3" s="298"/>
      <c r="P3" s="298"/>
      <c r="Q3" s="298"/>
      <c r="R3" s="298"/>
      <c r="S3" s="298"/>
    </row>
    <row r="4" spans="1:19">
      <c r="A4" s="298"/>
      <c r="B4" s="298"/>
      <c r="C4" s="298"/>
      <c r="D4" s="298"/>
      <c r="E4" s="325">
        <v>2</v>
      </c>
      <c r="F4" s="326" t="str">
        <f ca="1">VLOOKUP(2,当前时间策略!Q3:R29,2,0)</f>
        <v>彩船定向0.5h</v>
      </c>
      <c r="G4" s="325">
        <v>16</v>
      </c>
      <c r="H4" s="327" t="str">
        <f ca="1">VLOOKUP(16,当前时间策略!Q3:R29,2,0)</f>
        <v>资金募集2.5h</v>
      </c>
      <c r="I4" s="298"/>
      <c r="J4" s="298"/>
      <c r="K4" s="298"/>
      <c r="L4" s="298"/>
      <c r="M4" s="298"/>
      <c r="N4" s="298"/>
      <c r="O4" s="298"/>
      <c r="P4" s="298"/>
      <c r="Q4" s="298"/>
      <c r="R4" s="298"/>
      <c r="S4" s="298"/>
    </row>
    <row r="5" spans="1:19">
      <c r="A5" s="298"/>
      <c r="B5" s="298"/>
      <c r="C5" s="298"/>
      <c r="D5" s="298"/>
      <c r="E5" s="325">
        <v>3</v>
      </c>
      <c r="F5" s="326" t="str">
        <f ca="1">VLOOKUP(3,当前时间策略!Q3:R29,2,0)</f>
        <v>金船定向0.5h</v>
      </c>
      <c r="G5" s="325">
        <v>17</v>
      </c>
      <c r="H5" s="327" t="str">
        <f ca="1">VLOOKUP(17,当前时间策略!Q3:R29,2,0)</f>
        <v>魔方解析1h</v>
      </c>
      <c r="I5" s="298"/>
      <c r="J5" s="298"/>
      <c r="K5" s="298"/>
      <c r="L5" s="298"/>
      <c r="M5" s="298"/>
      <c r="N5" s="298"/>
      <c r="O5" s="298"/>
      <c r="P5" s="298"/>
      <c r="Q5" s="298"/>
      <c r="R5" s="298"/>
      <c r="S5" s="298"/>
    </row>
    <row r="6" spans="1:19">
      <c r="A6" s="298"/>
      <c r="B6" s="298"/>
      <c r="C6" s="298"/>
      <c r="D6" s="298"/>
      <c r="E6" s="325">
        <v>4</v>
      </c>
      <c r="F6" s="326" t="str">
        <f ca="1">VLOOKUP(4,当前时间策略!Q3:R29,2,0)</f>
        <v>舰装解析4h</v>
      </c>
      <c r="G6" s="325">
        <v>18</v>
      </c>
      <c r="H6" s="327" t="str">
        <f ca="1">VLOOKUP(18,当前时间策略!Q3:R29,2,0)</f>
        <v>彩船定向5h</v>
      </c>
      <c r="I6" s="298"/>
      <c r="J6" s="298"/>
      <c r="K6" s="298"/>
      <c r="L6" s="298"/>
      <c r="M6" s="298"/>
      <c r="N6" s="298"/>
      <c r="O6" s="298"/>
      <c r="P6" s="298"/>
      <c r="Q6" s="298"/>
      <c r="R6" s="298"/>
      <c r="S6" s="298"/>
    </row>
    <row r="7" spans="1:19">
      <c r="A7" s="298"/>
      <c r="B7" s="298"/>
      <c r="C7" s="298"/>
      <c r="D7" s="298"/>
      <c r="E7" s="325">
        <v>5</v>
      </c>
      <c r="F7" s="326" t="str">
        <f ca="1">VLOOKUP(5,当前时间策略!Q3:R29,2,0)</f>
        <v>舰装解析2h</v>
      </c>
      <c r="G7" s="325">
        <v>19</v>
      </c>
      <c r="H7" s="327" t="str">
        <f ca="1">VLOOKUP(19,当前时间策略!Q3:R29,2,0)</f>
        <v>研究委托3h</v>
      </c>
      <c r="I7" s="298"/>
      <c r="J7" s="298"/>
      <c r="K7" s="298"/>
      <c r="L7" s="298"/>
      <c r="M7" s="298"/>
      <c r="N7" s="298"/>
      <c r="O7" s="298"/>
      <c r="P7" s="298"/>
      <c r="Q7" s="298"/>
      <c r="R7" s="298"/>
      <c r="S7" s="298"/>
    </row>
    <row r="8" ht="15.15" spans="1:19">
      <c r="A8" s="298"/>
      <c r="B8" s="298"/>
      <c r="C8" s="298"/>
      <c r="D8" s="298"/>
      <c r="E8" s="325">
        <v>6</v>
      </c>
      <c r="F8" s="326" t="str">
        <f ca="1">VLOOKUP(6,当前时间策略!Q3:R29,2,0)</f>
        <v>舰装解析1h</v>
      </c>
      <c r="G8" s="325">
        <v>20</v>
      </c>
      <c r="H8" s="327" t="str">
        <f ca="1">VLOOKUP(20,当前时间策略!Q3:R29,2,0)</f>
        <v>金船定向5h</v>
      </c>
      <c r="I8" s="298"/>
      <c r="J8" s="298"/>
      <c r="K8" s="298"/>
      <c r="L8" s="298"/>
      <c r="M8" s="298"/>
      <c r="N8" s="298"/>
      <c r="O8" s="298"/>
      <c r="P8" s="298"/>
      <c r="Q8" s="298"/>
      <c r="R8" s="298"/>
      <c r="S8" s="298"/>
    </row>
    <row r="9" spans="1:19">
      <c r="A9" s="298"/>
      <c r="B9" s="328" t="str">
        <f ca="1">IF(数据表!K39=0,"这个点了咋还没睡","当前时间")</f>
        <v>当前时间</v>
      </c>
      <c r="C9" s="329"/>
      <c r="D9" s="329"/>
      <c r="E9" s="325">
        <v>7</v>
      </c>
      <c r="F9" s="326" t="str">
        <f ca="1">VLOOKUP(7,当前时间策略!Q3:R29,2,0)</f>
        <v>心智补全0.5h</v>
      </c>
      <c r="G9" s="325">
        <v>21</v>
      </c>
      <c r="H9" s="327" t="str">
        <f ca="1">VLOOKUP(21,当前时间策略!Q3:R29,2,0)</f>
        <v>魔方解析2h</v>
      </c>
      <c r="I9" s="298"/>
      <c r="J9" s="298"/>
      <c r="K9" s="298"/>
      <c r="L9" s="298"/>
      <c r="M9" s="298"/>
      <c r="N9" s="298"/>
      <c r="O9" s="298"/>
      <c r="P9" s="298"/>
      <c r="Q9" s="298"/>
      <c r="R9" s="298"/>
      <c r="S9" s="298"/>
    </row>
    <row r="10" ht="15.15" spans="1:19">
      <c r="A10" s="298"/>
      <c r="B10" s="330"/>
      <c r="C10" s="331"/>
      <c r="D10" s="331"/>
      <c r="E10" s="325">
        <v>8</v>
      </c>
      <c r="F10" s="326" t="str">
        <f ca="1">VLOOKUP(8,当前时间策略!Q3:R29,2,0)</f>
        <v>资金募集4h</v>
      </c>
      <c r="G10" s="325">
        <v>22</v>
      </c>
      <c r="H10" s="327" t="str">
        <f ca="1">VLOOKUP(22,当前时间策略!Q3:R29,2,0)</f>
        <v>彩船定向8h</v>
      </c>
      <c r="I10" s="298"/>
      <c r="J10" s="298"/>
      <c r="K10" s="298"/>
      <c r="L10" s="298"/>
      <c r="M10" s="298"/>
      <c r="N10" s="298"/>
      <c r="O10" s="298"/>
      <c r="P10" s="298"/>
      <c r="Q10" s="298"/>
      <c r="R10" s="298"/>
      <c r="S10" s="298"/>
    </row>
    <row r="11" ht="15" customHeight="1" spans="1:19">
      <c r="A11" s="298"/>
      <c r="B11" s="332">
        <f ca="1">NOW()</f>
        <v>44696.6356481481</v>
      </c>
      <c r="C11" s="333"/>
      <c r="D11" s="333"/>
      <c r="E11" s="325">
        <v>9</v>
      </c>
      <c r="F11" s="326" t="str">
        <f ca="1">VLOOKUP(9,当前时间策略!Q3:R29,2,0)</f>
        <v>资金募集1.5h</v>
      </c>
      <c r="G11" s="325">
        <v>23</v>
      </c>
      <c r="H11" s="327" t="str">
        <f ca="1">VLOOKUP(23,当前时间策略!Q3:R29,2,0)</f>
        <v>基础研究6h</v>
      </c>
      <c r="I11" s="298"/>
      <c r="J11" s="298"/>
      <c r="K11" s="298"/>
      <c r="L11" s="298"/>
      <c r="M11" s="298"/>
      <c r="N11" s="298"/>
      <c r="O11" s="298"/>
      <c r="P11" s="298"/>
      <c r="Q11" s="298"/>
      <c r="R11" s="298"/>
      <c r="S11" s="298"/>
    </row>
    <row r="12" ht="15.6" spans="1:19">
      <c r="A12" s="298"/>
      <c r="B12" s="334"/>
      <c r="C12" s="335"/>
      <c r="D12" s="335"/>
      <c r="E12" s="336">
        <v>10</v>
      </c>
      <c r="F12" s="326" t="str">
        <f ca="1">VLOOKUP(10,当前时间策略!Q3:R29,2,0)</f>
        <v>彩船定向2.5h</v>
      </c>
      <c r="G12" s="325">
        <v>24</v>
      </c>
      <c r="H12" s="327" t="str">
        <f ca="1">VLOOKUP(24,当前时间策略!Q3:R29,2,0)</f>
        <v>基础研究12h</v>
      </c>
      <c r="I12" s="298"/>
      <c r="J12" s="298"/>
      <c r="K12" s="298"/>
      <c r="L12" s="298"/>
      <c r="M12" s="298"/>
      <c r="N12" s="298"/>
      <c r="O12" s="298"/>
      <c r="P12" s="298"/>
      <c r="Q12" s="298"/>
      <c r="R12" s="298"/>
      <c r="S12" s="298"/>
    </row>
    <row r="13" ht="15" customHeight="1" spans="1:19">
      <c r="A13" s="298"/>
      <c r="B13" s="334"/>
      <c r="C13" s="335"/>
      <c r="D13" s="335"/>
      <c r="E13" s="325">
        <v>11</v>
      </c>
      <c r="F13" s="326" t="str">
        <f ca="1">VLOOKUP(11,当前时间策略!Q3:R29,2,0)</f>
        <v>金船定向2.5h</v>
      </c>
      <c r="G13" s="325">
        <v>25</v>
      </c>
      <c r="H13" s="327" t="str">
        <f ca="1">VLOOKUP(25,当前时间策略!Q3:R29,2,0)</f>
        <v>金船定向8h</v>
      </c>
      <c r="I13" s="298"/>
      <c r="J13" s="298"/>
      <c r="K13" s="298"/>
      <c r="L13" s="298"/>
      <c r="M13" s="298"/>
      <c r="N13" s="298"/>
      <c r="O13" s="298"/>
      <c r="P13" s="298"/>
      <c r="Q13" s="298"/>
      <c r="R13" s="298"/>
      <c r="S13" s="298"/>
    </row>
    <row r="14" ht="15.15" spans="1:19">
      <c r="A14" s="298"/>
      <c r="B14" s="337"/>
      <c r="C14" s="338"/>
      <c r="D14" s="338"/>
      <c r="E14" s="325">
        <v>12</v>
      </c>
      <c r="F14" s="326" t="str">
        <f ca="1">VLOOKUP(12,当前时间策略!Q3:R29,2,0)</f>
        <v>试验品募集2h紫</v>
      </c>
      <c r="G14" s="325">
        <v>26</v>
      </c>
      <c r="H14" s="327" t="str">
        <f ca="1">VLOOKUP(26,当前时间策略!Q3:R29,2,0)</f>
        <v>基础研究8h</v>
      </c>
      <c r="I14" s="298"/>
      <c r="J14" s="298"/>
      <c r="K14" s="298"/>
      <c r="L14" s="298"/>
      <c r="M14" s="298"/>
      <c r="N14" s="298"/>
      <c r="O14" s="298"/>
      <c r="P14" s="298"/>
      <c r="Q14" s="298"/>
      <c r="R14" s="298"/>
      <c r="S14" s="298"/>
    </row>
    <row r="15" ht="16" customHeight="1" spans="1:19">
      <c r="A15" s="298"/>
      <c r="B15" s="339" t="s">
        <v>152</v>
      </c>
      <c r="C15" s="340">
        <f ca="1">当前时间策略!K39</f>
        <v>11</v>
      </c>
      <c r="D15" s="298" t="s">
        <v>153</v>
      </c>
      <c r="E15" s="325">
        <v>13</v>
      </c>
      <c r="F15" s="326" t="str">
        <f ca="1">VLOOKUP(13,当前时间策略!Q3:R29,2,0)</f>
        <v>23期舰装解析1h</v>
      </c>
      <c r="G15" s="325">
        <v>27</v>
      </c>
      <c r="H15" s="327" t="str">
        <f ca="1">VLOOKUP(27,当前时间策略!Q3:R29,2,0)</f>
        <v>魔方解析4h</v>
      </c>
      <c r="I15" s="298"/>
      <c r="J15" s="298"/>
      <c r="K15" s="298"/>
      <c r="L15" s="298"/>
      <c r="M15" s="298"/>
      <c r="N15" s="298"/>
      <c r="O15" s="298"/>
      <c r="P15" s="298"/>
      <c r="Q15" s="298"/>
      <c r="R15" s="298"/>
      <c r="S15" s="298"/>
    </row>
    <row r="16" ht="15" customHeight="1" spans="1:19">
      <c r="A16" s="298"/>
      <c r="B16" s="341" t="s">
        <v>154</v>
      </c>
      <c r="C16" s="342">
        <v>1.99305555555556</v>
      </c>
      <c r="D16" s="341" t="s">
        <v>155</v>
      </c>
      <c r="E16" s="343">
        <v>14</v>
      </c>
      <c r="F16" s="344" t="str">
        <f ca="1">VLOOKUP(14,当前时间策略!Q3:R29,2,0)</f>
        <v>金数据收集4h</v>
      </c>
      <c r="G16" s="343"/>
      <c r="H16" s="345"/>
      <c r="I16" s="298"/>
      <c r="J16" s="298"/>
      <c r="K16" s="298"/>
      <c r="L16" s="298"/>
      <c r="M16" s="298"/>
      <c r="N16" s="298"/>
      <c r="O16" s="298"/>
      <c r="P16" s="298"/>
      <c r="Q16" s="298"/>
      <c r="R16" s="298"/>
      <c r="S16" s="298"/>
    </row>
    <row r="17" spans="1:19">
      <c r="A17" s="298"/>
      <c r="B17" s="346" t="s">
        <v>156</v>
      </c>
      <c r="C17" s="347"/>
      <c r="D17" s="347"/>
      <c r="E17" s="348"/>
      <c r="F17" s="349" t="s">
        <v>157</v>
      </c>
      <c r="G17" s="350"/>
      <c r="H17" s="298"/>
      <c r="I17" s="298"/>
      <c r="J17" s="298"/>
      <c r="K17" s="298"/>
      <c r="L17" s="298"/>
      <c r="M17" s="298"/>
      <c r="N17" s="298"/>
      <c r="O17" s="298"/>
      <c r="P17" s="298"/>
      <c r="Q17" s="298"/>
      <c r="R17" s="298"/>
      <c r="S17" s="298"/>
    </row>
    <row r="18" ht="15.15" spans="1:19">
      <c r="A18" s="298"/>
      <c r="B18" s="346"/>
      <c r="C18" s="347"/>
      <c r="D18" s="347"/>
      <c r="E18" s="348"/>
      <c r="F18" s="351"/>
      <c r="G18" s="352"/>
      <c r="H18" s="298"/>
      <c r="I18" s="298"/>
      <c r="J18" s="298"/>
      <c r="K18" s="298"/>
      <c r="L18" s="298"/>
      <c r="M18" s="298"/>
      <c r="N18" s="298"/>
      <c r="O18" s="298"/>
      <c r="P18" s="298"/>
      <c r="Q18" s="298"/>
      <c r="R18" s="298"/>
      <c r="S18" s="298"/>
    </row>
    <row r="19" spans="1:19">
      <c r="A19" s="298"/>
      <c r="B19" s="346"/>
      <c r="C19" s="347"/>
      <c r="D19" s="347"/>
      <c r="E19" s="348"/>
      <c r="F19" s="353" t="s">
        <v>158</v>
      </c>
      <c r="G19" s="354"/>
      <c r="H19" s="298"/>
      <c r="I19" s="298"/>
      <c r="J19" s="298"/>
      <c r="K19" s="298"/>
      <c r="L19" s="298"/>
      <c r="M19" s="298"/>
      <c r="N19" s="298"/>
      <c r="O19" s="298"/>
      <c r="P19" s="298"/>
      <c r="Q19" s="298"/>
      <c r="R19" s="298"/>
      <c r="S19" s="298"/>
    </row>
    <row r="20" spans="1:19">
      <c r="A20" s="298"/>
      <c r="B20" s="346"/>
      <c r="C20" s="347"/>
      <c r="D20" s="347"/>
      <c r="E20" s="348"/>
      <c r="F20" s="355"/>
      <c r="G20" s="356"/>
      <c r="H20" s="298"/>
      <c r="I20" s="298"/>
      <c r="J20" s="298"/>
      <c r="K20" s="298"/>
      <c r="L20" s="298"/>
      <c r="M20" s="298"/>
      <c r="N20" s="298"/>
      <c r="O20" s="298"/>
      <c r="P20" s="298"/>
      <c r="Q20" s="298"/>
      <c r="R20" s="298"/>
      <c r="S20" s="298"/>
    </row>
    <row r="21" spans="1:19">
      <c r="A21" s="298"/>
      <c r="B21" s="346"/>
      <c r="C21" s="347"/>
      <c r="D21" s="347"/>
      <c r="E21" s="348"/>
      <c r="F21" s="355"/>
      <c r="G21" s="356"/>
      <c r="H21" s="298"/>
      <c r="I21" s="298"/>
      <c r="J21" s="298"/>
      <c r="K21" s="298"/>
      <c r="L21" s="298"/>
      <c r="M21" s="298"/>
      <c r="N21" s="298"/>
      <c r="O21" s="298"/>
      <c r="P21" s="298"/>
      <c r="Q21" s="298"/>
      <c r="R21" s="298"/>
      <c r="S21" s="298"/>
    </row>
    <row r="22" ht="15.15" spans="1:19">
      <c r="A22" s="298"/>
      <c r="B22" s="357"/>
      <c r="C22" s="358"/>
      <c r="D22" s="358"/>
      <c r="E22" s="359"/>
      <c r="F22" s="360"/>
      <c r="G22" s="361"/>
      <c r="H22" s="298"/>
      <c r="I22" s="298"/>
      <c r="J22" s="298"/>
      <c r="K22" s="298"/>
      <c r="L22" s="298"/>
      <c r="M22" s="298"/>
      <c r="N22" s="298"/>
      <c r="O22" s="298"/>
      <c r="P22" s="298"/>
      <c r="Q22" s="298"/>
      <c r="R22" s="298"/>
      <c r="S22" s="298"/>
    </row>
    <row r="23" spans="1:19">
      <c r="A23" s="362"/>
      <c r="B23" s="362"/>
      <c r="C23" s="362"/>
      <c r="D23" s="362"/>
      <c r="E23" s="362"/>
      <c r="F23" s="362"/>
      <c r="G23" s="362"/>
      <c r="H23" s="362"/>
      <c r="I23" s="362"/>
      <c r="J23" s="362"/>
      <c r="K23" s="362"/>
      <c r="L23" s="362"/>
      <c r="M23" s="362"/>
      <c r="N23" s="362"/>
      <c r="O23" s="362"/>
      <c r="P23" s="362"/>
      <c r="Q23" s="362"/>
      <c r="R23" s="298"/>
      <c r="S23" s="298"/>
    </row>
    <row r="24" spans="1:19">
      <c r="A24" s="362"/>
      <c r="B24" s="362"/>
      <c r="C24" s="362"/>
      <c r="D24" s="362"/>
      <c r="E24" s="362"/>
      <c r="F24" s="362"/>
      <c r="G24" s="362"/>
      <c r="H24" s="362"/>
      <c r="I24" s="362"/>
      <c r="J24" s="362"/>
      <c r="K24" s="362"/>
      <c r="L24" s="362"/>
      <c r="M24" s="362"/>
      <c r="N24" s="362"/>
      <c r="O24" s="362"/>
      <c r="P24" s="362"/>
      <c r="Q24" s="362"/>
      <c r="R24" s="298"/>
      <c r="S24" s="298"/>
    </row>
    <row r="25" ht="15" customHeight="1" spans="1:19">
      <c r="A25" s="362"/>
      <c r="B25" s="362"/>
      <c r="C25" s="362"/>
      <c r="D25" s="362"/>
      <c r="E25" s="362"/>
      <c r="F25" s="362"/>
      <c r="G25" s="362"/>
      <c r="H25" s="362"/>
      <c r="I25" s="362"/>
      <c r="J25" s="362"/>
      <c r="K25" s="362"/>
      <c r="L25" s="362"/>
      <c r="M25" s="362"/>
      <c r="N25" s="362"/>
      <c r="O25" s="362"/>
      <c r="P25" s="362"/>
      <c r="Q25" s="362"/>
      <c r="R25" s="298"/>
      <c r="S25" s="298"/>
    </row>
    <row r="26" spans="1:19">
      <c r="A26" s="362"/>
      <c r="B26" s="362"/>
      <c r="C26" s="362"/>
      <c r="D26" s="362"/>
      <c r="E26" s="362"/>
      <c r="F26" s="362"/>
      <c r="G26" s="362"/>
      <c r="H26" s="362"/>
      <c r="I26" s="362"/>
      <c r="J26" s="362"/>
      <c r="K26" s="362"/>
      <c r="L26" s="362"/>
      <c r="M26" s="362"/>
      <c r="N26" s="362"/>
      <c r="O26" s="362"/>
      <c r="P26" s="362"/>
      <c r="Q26" s="362"/>
      <c r="R26" s="298"/>
      <c r="S26" s="298"/>
    </row>
    <row r="27" spans="1:19">
      <c r="A27" s="362"/>
      <c r="B27" s="362"/>
      <c r="C27" s="362"/>
      <c r="D27" s="362"/>
      <c r="E27" s="362"/>
      <c r="F27" s="362"/>
      <c r="G27" s="362"/>
      <c r="H27" s="362"/>
      <c r="I27" s="362"/>
      <c r="J27" s="362"/>
      <c r="K27" s="362"/>
      <c r="L27" s="362"/>
      <c r="M27" s="362"/>
      <c r="N27" s="362"/>
      <c r="O27" s="362"/>
      <c r="P27" s="362"/>
      <c r="Q27" s="362"/>
      <c r="R27" s="298"/>
      <c r="S27" s="298"/>
    </row>
    <row r="28" spans="1:19">
      <c r="A28" s="362"/>
      <c r="B28" s="362"/>
      <c r="C28" s="362"/>
      <c r="D28" s="362"/>
      <c r="E28" s="362"/>
      <c r="F28" s="362"/>
      <c r="G28" s="362"/>
      <c r="H28" s="362"/>
      <c r="I28" s="362"/>
      <c r="J28" s="362"/>
      <c r="K28" s="362"/>
      <c r="L28" s="362"/>
      <c r="M28" s="362"/>
      <c r="N28" s="362"/>
      <c r="O28" s="362"/>
      <c r="P28" s="362"/>
      <c r="Q28" s="362"/>
      <c r="R28" s="298"/>
      <c r="S28" s="298"/>
    </row>
    <row r="29" spans="1:19">
      <c r="A29" s="362"/>
      <c r="B29" s="362"/>
      <c r="C29" s="362"/>
      <c r="D29" s="362"/>
      <c r="E29" s="362"/>
      <c r="F29" s="362"/>
      <c r="G29" s="362"/>
      <c r="H29" s="362"/>
      <c r="I29" s="362"/>
      <c r="J29" s="362"/>
      <c r="K29" s="362"/>
      <c r="L29" s="362"/>
      <c r="M29" s="362"/>
      <c r="N29" s="362"/>
      <c r="O29" s="362"/>
      <c r="P29" s="362"/>
      <c r="Q29" s="362"/>
      <c r="R29" s="298"/>
      <c r="S29" s="298"/>
    </row>
    <row r="30" spans="1:19">
      <c r="A30" s="362"/>
      <c r="B30" s="362"/>
      <c r="C30" s="362"/>
      <c r="D30" s="362"/>
      <c r="E30" s="362"/>
      <c r="F30" s="362"/>
      <c r="G30" s="362"/>
      <c r="H30" s="362"/>
      <c r="I30" s="362"/>
      <c r="J30" s="362"/>
      <c r="K30" s="362"/>
      <c r="L30" s="362"/>
      <c r="M30" s="362"/>
      <c r="N30" s="362"/>
      <c r="O30" s="362"/>
      <c r="P30" s="362"/>
      <c r="Q30" s="362"/>
      <c r="R30" s="298"/>
      <c r="S30" s="298"/>
    </row>
    <row r="31" spans="1:19">
      <c r="A31" s="362"/>
      <c r="B31" s="362"/>
      <c r="C31" s="362"/>
      <c r="D31" s="362"/>
      <c r="E31" s="362"/>
      <c r="F31" s="362"/>
      <c r="G31" s="362"/>
      <c r="H31" s="362"/>
      <c r="I31" s="362"/>
      <c r="J31" s="362"/>
      <c r="K31" s="362"/>
      <c r="L31" s="362"/>
      <c r="M31" s="362"/>
      <c r="N31" s="362"/>
      <c r="O31" s="362"/>
      <c r="P31" s="362"/>
      <c r="Q31" s="362"/>
      <c r="R31" s="298"/>
      <c r="S31" s="298"/>
    </row>
    <row r="32" spans="1:19">
      <c r="A32" s="362"/>
      <c r="B32" s="362"/>
      <c r="C32" s="362"/>
      <c r="D32" s="362"/>
      <c r="E32" s="362"/>
      <c r="F32" s="362"/>
      <c r="G32" s="362"/>
      <c r="H32" s="362"/>
      <c r="I32" s="362"/>
      <c r="J32" s="362"/>
      <c r="K32" s="362"/>
      <c r="L32" s="362"/>
      <c r="M32" s="362"/>
      <c r="N32" s="362"/>
      <c r="O32" s="362"/>
      <c r="P32" s="362"/>
      <c r="Q32" s="362"/>
      <c r="R32" s="298"/>
      <c r="S32" s="298"/>
    </row>
    <row r="33" spans="1:19">
      <c r="A33" s="362"/>
      <c r="B33" s="362"/>
      <c r="C33" s="362"/>
      <c r="D33" s="362"/>
      <c r="E33" s="362"/>
      <c r="F33" s="362"/>
      <c r="G33" s="362"/>
      <c r="H33" s="362"/>
      <c r="I33" s="362"/>
      <c r="J33" s="362"/>
      <c r="K33" s="362"/>
      <c r="L33" s="362"/>
      <c r="M33" s="362"/>
      <c r="N33" s="362"/>
      <c r="O33" s="362"/>
      <c r="P33" s="362"/>
      <c r="Q33" s="362"/>
      <c r="R33" s="298"/>
      <c r="S33" s="298"/>
    </row>
    <row r="34" spans="1:19">
      <c r="A34" s="362"/>
      <c r="B34" s="362"/>
      <c r="C34" s="362"/>
      <c r="D34" s="362"/>
      <c r="E34" s="362"/>
      <c r="F34" s="362"/>
      <c r="G34" s="362"/>
      <c r="H34" s="362"/>
      <c r="I34" s="362"/>
      <c r="J34" s="362"/>
      <c r="K34" s="362"/>
      <c r="L34" s="362"/>
      <c r="M34" s="362"/>
      <c r="N34" s="362"/>
      <c r="O34" s="362"/>
      <c r="P34" s="362"/>
      <c r="Q34" s="362"/>
      <c r="R34" s="298"/>
      <c r="S34" s="298"/>
    </row>
    <row r="35" spans="1:19">
      <c r="A35" s="362"/>
      <c r="B35" s="362"/>
      <c r="C35" s="362"/>
      <c r="D35" s="362"/>
      <c r="E35" s="362"/>
      <c r="F35" s="362"/>
      <c r="G35" s="362"/>
      <c r="H35" s="362"/>
      <c r="I35" s="362"/>
      <c r="J35" s="362"/>
      <c r="K35" s="362"/>
      <c r="L35" s="362"/>
      <c r="M35" s="362"/>
      <c r="N35" s="362"/>
      <c r="O35" s="362"/>
      <c r="P35" s="362"/>
      <c r="Q35" s="362"/>
      <c r="R35" s="298"/>
      <c r="S35" s="298"/>
    </row>
    <row r="36" spans="1:19">
      <c r="A36" s="362"/>
      <c r="B36" s="362"/>
      <c r="C36" s="362"/>
      <c r="D36" s="362"/>
      <c r="E36" s="362"/>
      <c r="F36" s="362"/>
      <c r="G36" s="362"/>
      <c r="H36" s="362"/>
      <c r="I36" s="362"/>
      <c r="J36" s="362"/>
      <c r="K36" s="362"/>
      <c r="L36" s="362"/>
      <c r="M36" s="362"/>
      <c r="N36" s="362"/>
      <c r="O36" s="362"/>
      <c r="P36" s="362"/>
      <c r="Q36" s="362"/>
      <c r="R36" s="298"/>
      <c r="S36" s="298"/>
    </row>
    <row r="37" spans="1:19">
      <c r="A37" s="362"/>
      <c r="B37" s="362"/>
      <c r="C37" s="362"/>
      <c r="D37" s="362"/>
      <c r="E37" s="362"/>
      <c r="F37" s="362"/>
      <c r="G37" s="362"/>
      <c r="H37" s="362"/>
      <c r="I37" s="362"/>
      <c r="J37" s="362"/>
      <c r="K37" s="362"/>
      <c r="L37" s="362"/>
      <c r="M37" s="362"/>
      <c r="N37" s="362"/>
      <c r="O37" s="362"/>
      <c r="P37" s="362"/>
      <c r="Q37" s="362"/>
      <c r="R37" s="298"/>
      <c r="S37" s="298"/>
    </row>
    <row r="38" spans="1:19">
      <c r="A38" s="362"/>
      <c r="B38" s="362"/>
      <c r="C38" s="362"/>
      <c r="D38" s="362"/>
      <c r="E38" s="362"/>
      <c r="F38" s="362"/>
      <c r="G38" s="362"/>
      <c r="H38" s="362"/>
      <c r="I38" s="362"/>
      <c r="J38" s="362"/>
      <c r="K38" s="362"/>
      <c r="L38" s="362"/>
      <c r="M38" s="362"/>
      <c r="N38" s="362"/>
      <c r="O38" s="362"/>
      <c r="P38" s="362"/>
      <c r="Q38" s="362"/>
      <c r="R38" s="298"/>
      <c r="S38" s="298"/>
    </row>
    <row r="39" spans="1:19">
      <c r="A39" s="362"/>
      <c r="B39" s="362"/>
      <c r="C39" s="362"/>
      <c r="D39" s="362"/>
      <c r="E39" s="362"/>
      <c r="F39" s="362"/>
      <c r="G39" s="362"/>
      <c r="H39" s="362"/>
      <c r="I39" s="362"/>
      <c r="J39" s="362"/>
      <c r="K39" s="362"/>
      <c r="L39" s="362"/>
      <c r="M39" s="362"/>
      <c r="N39" s="362"/>
      <c r="O39" s="362"/>
      <c r="P39" s="362"/>
      <c r="Q39" s="362"/>
      <c r="R39" s="298"/>
      <c r="S39" s="298"/>
    </row>
    <row r="40" spans="1:19">
      <c r="A40" s="362"/>
      <c r="B40" s="362"/>
      <c r="C40" s="362"/>
      <c r="D40" s="362"/>
      <c r="E40" s="362"/>
      <c r="F40" s="362"/>
      <c r="G40" s="362"/>
      <c r="H40" s="362"/>
      <c r="I40" s="362"/>
      <c r="J40" s="362"/>
      <c r="K40" s="362"/>
      <c r="L40" s="362"/>
      <c r="M40" s="362"/>
      <c r="N40" s="362"/>
      <c r="O40" s="362"/>
      <c r="P40" s="362"/>
      <c r="Q40" s="362"/>
      <c r="R40" s="298"/>
      <c r="S40" s="298"/>
    </row>
    <row r="41" spans="1:19">
      <c r="A41" s="362"/>
      <c r="B41" s="362"/>
      <c r="C41" s="362"/>
      <c r="D41" s="362"/>
      <c r="E41" s="362"/>
      <c r="F41" s="362"/>
      <c r="G41" s="362"/>
      <c r="H41" s="362"/>
      <c r="I41" s="362"/>
      <c r="J41" s="362"/>
      <c r="K41" s="362"/>
      <c r="L41" s="362"/>
      <c r="M41" s="362"/>
      <c r="N41" s="362"/>
      <c r="O41" s="362"/>
      <c r="P41" s="362"/>
      <c r="Q41" s="362"/>
      <c r="R41" s="298"/>
      <c r="S41" s="298"/>
    </row>
    <row r="42" spans="1:19">
      <c r="A42" s="362"/>
      <c r="B42" s="362"/>
      <c r="C42" s="362"/>
      <c r="D42" s="362"/>
      <c r="E42" s="362"/>
      <c r="F42" s="362"/>
      <c r="G42" s="362"/>
      <c r="H42" s="362"/>
      <c r="I42" s="362"/>
      <c r="J42" s="362"/>
      <c r="K42" s="362"/>
      <c r="L42" s="362"/>
      <c r="M42" s="362"/>
      <c r="N42" s="362"/>
      <c r="O42" s="362"/>
      <c r="P42" s="362"/>
      <c r="Q42" s="362"/>
      <c r="R42" s="298"/>
      <c r="S42" s="298"/>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E12" sqref="E12"/>
    </sheetView>
  </sheetViews>
  <sheetFormatPr defaultColWidth="8.88888888888889" defaultRowHeight="14.4"/>
  <cols>
    <col min="1" max="1" width="4.43518518518519" customWidth="1"/>
    <col min="2" max="2" width="12.8888888888889" customWidth="1"/>
    <col min="5" max="5" width="23" customWidth="1"/>
  </cols>
  <sheetData>
    <row r="1" ht="15.15" spans="1:272">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V1" s="257"/>
      <c r="IW1" s="257"/>
      <c r="IX1" s="257"/>
      <c r="IY1" s="257"/>
      <c r="IZ1" s="257"/>
      <c r="JA1" s="257"/>
      <c r="JB1" s="257"/>
      <c r="JC1" s="257"/>
      <c r="JD1" s="257"/>
      <c r="JE1" s="257"/>
      <c r="JF1" s="257"/>
      <c r="JG1" s="257"/>
      <c r="JH1" s="257"/>
      <c r="JI1" s="257"/>
      <c r="JJ1" s="257"/>
      <c r="JK1" s="257"/>
      <c r="JL1" s="257"/>
    </row>
    <row r="2" ht="16.35" spans="1:272">
      <c r="A2" s="298"/>
      <c r="B2" s="299" t="s">
        <v>159</v>
      </c>
      <c r="C2" s="300" t="s">
        <v>160</v>
      </c>
      <c r="D2" s="301" t="s">
        <v>161</v>
      </c>
      <c r="E2" s="302" t="s">
        <v>162</v>
      </c>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row>
    <row r="3" ht="15.6" spans="1:272">
      <c r="A3" s="298"/>
      <c r="B3" s="303" t="s">
        <v>163</v>
      </c>
      <c r="C3" s="304">
        <v>433</v>
      </c>
      <c r="D3" s="305">
        <v>513</v>
      </c>
      <c r="E3" s="306">
        <f ca="1">IF(D3&gt;C3,NOW()+数据表!R120,数据表!P94)</f>
        <v>44763.0286767336</v>
      </c>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c r="IW3" s="257"/>
      <c r="IX3" s="257"/>
      <c r="IY3" s="257"/>
      <c r="IZ3" s="257"/>
      <c r="JA3" s="257"/>
      <c r="JB3" s="257"/>
      <c r="JC3" s="257"/>
      <c r="JD3" s="257"/>
      <c r="JE3" s="257"/>
      <c r="JF3" s="257"/>
      <c r="JG3" s="257"/>
      <c r="JH3" s="257"/>
      <c r="JI3" s="257"/>
      <c r="JJ3" s="257"/>
      <c r="JK3" s="257"/>
      <c r="JL3" s="257"/>
    </row>
    <row r="4" ht="15.6" spans="1:272">
      <c r="A4" s="298"/>
      <c r="B4" s="307" t="s">
        <v>164</v>
      </c>
      <c r="C4" s="308">
        <v>325</v>
      </c>
      <c r="D4" s="309">
        <v>513</v>
      </c>
      <c r="E4" s="310">
        <f ca="1">IF(D4&gt;C4,NOW()+数据表!R121,数据表!P94)</f>
        <v>44808.8524492992</v>
      </c>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c r="IW4" s="257"/>
      <c r="IX4" s="257"/>
      <c r="IY4" s="257"/>
      <c r="IZ4" s="257"/>
      <c r="JA4" s="257"/>
      <c r="JB4" s="257"/>
      <c r="JC4" s="257"/>
      <c r="JD4" s="257"/>
      <c r="JE4" s="257"/>
      <c r="JF4" s="257"/>
      <c r="JG4" s="257"/>
      <c r="JH4" s="257"/>
      <c r="JI4" s="257"/>
      <c r="JJ4" s="257"/>
      <c r="JK4" s="257"/>
      <c r="JL4" s="257"/>
    </row>
    <row r="5" ht="15.6" spans="1:272">
      <c r="A5" s="298"/>
      <c r="B5" s="307" t="s">
        <v>165</v>
      </c>
      <c r="C5" s="308">
        <v>414</v>
      </c>
      <c r="D5" s="309">
        <v>343</v>
      </c>
      <c r="E5" s="310" t="str">
        <f ca="1">IF(数据表!R108=0,数据表!P94,NOW()+数据表!R108)</f>
        <v>已毕业</v>
      </c>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c r="IW5" s="257"/>
      <c r="IX5" s="257"/>
      <c r="IY5" s="257"/>
      <c r="IZ5" s="257"/>
      <c r="JA5" s="257"/>
      <c r="JB5" s="257"/>
      <c r="JC5" s="257"/>
      <c r="JD5" s="257"/>
      <c r="JE5" s="257"/>
      <c r="JF5" s="257"/>
      <c r="JG5" s="257"/>
      <c r="JH5" s="257"/>
      <c r="JI5" s="257"/>
      <c r="JJ5" s="257"/>
      <c r="JK5" s="257"/>
      <c r="JL5" s="257"/>
    </row>
    <row r="6" ht="15.6" spans="1:272">
      <c r="A6" s="298"/>
      <c r="B6" s="307" t="s">
        <v>166</v>
      </c>
      <c r="C6" s="308">
        <v>205</v>
      </c>
      <c r="D6" s="309">
        <v>343</v>
      </c>
      <c r="E6" s="310">
        <f ca="1">IF(数据表!R109=0,数据表!P94,NOW()+数据表!R109)</f>
        <v>44735.0260222366</v>
      </c>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V6" s="257"/>
      <c r="IW6" s="257"/>
      <c r="IX6" s="257"/>
      <c r="IY6" s="257"/>
      <c r="IZ6" s="257"/>
      <c r="JA6" s="257"/>
      <c r="JB6" s="257"/>
      <c r="JC6" s="257"/>
      <c r="JD6" s="257"/>
      <c r="JE6" s="257"/>
      <c r="JF6" s="257"/>
      <c r="JG6" s="257"/>
      <c r="JH6" s="257"/>
      <c r="JI6" s="257"/>
      <c r="JJ6" s="257"/>
      <c r="JK6" s="257"/>
      <c r="JL6" s="257"/>
    </row>
    <row r="7" ht="15.6" spans="1:272">
      <c r="A7" s="298"/>
      <c r="B7" s="307" t="s">
        <v>167</v>
      </c>
      <c r="C7" s="308">
        <v>332</v>
      </c>
      <c r="D7" s="309">
        <v>343</v>
      </c>
      <c r="E7" s="310">
        <f ca="1">IF(数据表!R110=0,数据表!P94,NOW()+数据表!R110)</f>
        <v>44701.1447592175</v>
      </c>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c r="IW7" s="257"/>
      <c r="IX7" s="257"/>
      <c r="IY7" s="257"/>
      <c r="IZ7" s="257"/>
      <c r="JA7" s="257"/>
      <c r="JB7" s="257"/>
      <c r="JC7" s="257"/>
      <c r="JD7" s="257"/>
      <c r="JE7" s="257"/>
      <c r="JF7" s="257"/>
      <c r="JG7" s="257"/>
      <c r="JH7" s="257"/>
      <c r="JI7" s="257"/>
      <c r="JJ7" s="257"/>
      <c r="JK7" s="257"/>
      <c r="JL7" s="257"/>
    </row>
    <row r="8" ht="16.35" spans="1:272">
      <c r="A8" s="298"/>
      <c r="B8" s="311" t="s">
        <v>168</v>
      </c>
      <c r="C8" s="312">
        <v>137</v>
      </c>
      <c r="D8" s="313">
        <v>150</v>
      </c>
      <c r="E8" s="314">
        <f ca="1">IF(D8&gt;C8,NOW()+(D8-C8)/'倾向-优先级表'!H29,数据表!P94)</f>
        <v>44715.2420806952</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c r="JJ8" s="257"/>
      <c r="JK8" s="257"/>
      <c r="JL8" s="257"/>
    </row>
    <row r="9" ht="16.35" spans="1:272">
      <c r="A9" s="298"/>
      <c r="B9" s="315" t="s">
        <v>169</v>
      </c>
      <c r="C9" s="316"/>
      <c r="D9" s="316"/>
      <c r="E9" s="317">
        <v>44750.5833333333</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c r="IW9" s="257"/>
      <c r="IX9" s="257"/>
      <c r="IY9" s="257"/>
      <c r="IZ9" s="257"/>
      <c r="JA9" s="257"/>
      <c r="JB9" s="257"/>
      <c r="JC9" s="257"/>
      <c r="JD9" s="257"/>
      <c r="JE9" s="257"/>
      <c r="JF9" s="257"/>
      <c r="JG9" s="257"/>
      <c r="JH9" s="257"/>
      <c r="JI9" s="257"/>
      <c r="JJ9" s="257"/>
      <c r="JK9" s="257"/>
      <c r="JL9" s="257"/>
    </row>
    <row r="10" spans="1:27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row>
    <row r="11" spans="1:27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row>
    <row r="12" spans="1:272">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row>
    <row r="13" spans="1:272">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row>
    <row r="14" spans="1:272">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row>
    <row r="15" spans="1:272">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row>
    <row r="16" spans="1:272">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row>
    <row r="17" spans="1:272">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row>
    <row r="18" spans="1:272">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row>
    <row r="19" spans="1:272">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row>
    <row r="20" spans="1:272">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row>
    <row r="21" spans="1:272">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row>
    <row r="22" spans="1:272">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row>
    <row r="23" spans="1:272">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row>
    <row r="24" spans="1:272">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row>
    <row r="25" spans="1:272">
      <c r="A25" s="298"/>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row>
    <row r="26" spans="1:27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row>
    <row r="27" spans="1:27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row>
    <row r="28" spans="1:272">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row>
    <row r="29" spans="1:272">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row>
    <row r="30" spans="1:272">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row>
    <row r="31" spans="1:272">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G17" sqref="G17"/>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170</v>
      </c>
      <c r="C2" s="259"/>
      <c r="D2" s="260" t="s">
        <v>171</v>
      </c>
      <c r="E2" s="257"/>
      <c r="F2" s="257"/>
      <c r="G2" s="257"/>
      <c r="H2" s="261"/>
      <c r="I2" s="257"/>
      <c r="J2" s="257"/>
      <c r="K2" s="257"/>
      <c r="L2" s="257"/>
      <c r="M2" s="257"/>
      <c r="N2" s="257"/>
      <c r="O2" s="257"/>
      <c r="P2" s="257"/>
      <c r="Q2" s="257"/>
    </row>
    <row r="3" ht="15.15" spans="1:17">
      <c r="A3" s="257"/>
      <c r="B3" s="262" t="s">
        <v>172</v>
      </c>
      <c r="C3" s="263"/>
      <c r="D3" s="264">
        <v>288</v>
      </c>
      <c r="E3" s="257"/>
      <c r="F3" s="258" t="s">
        <v>173</v>
      </c>
      <c r="G3" s="265"/>
      <c r="H3" s="266">
        <f>F48</f>
        <v>148.125</v>
      </c>
      <c r="I3" s="286"/>
      <c r="J3" s="258" t="s">
        <v>174</v>
      </c>
      <c r="K3" s="259"/>
      <c r="L3" s="257"/>
      <c r="M3" s="257"/>
      <c r="N3" s="257"/>
      <c r="O3" s="257"/>
      <c r="P3" s="257"/>
      <c r="Q3" s="257"/>
    </row>
    <row r="4" ht="15.15" spans="1:17">
      <c r="A4" s="257"/>
      <c r="B4" s="267" t="s">
        <v>175</v>
      </c>
      <c r="C4" s="268"/>
      <c r="D4" s="269">
        <v>329</v>
      </c>
      <c r="E4" s="257"/>
      <c r="F4" s="270" t="s">
        <v>176</v>
      </c>
      <c r="G4" s="271"/>
      <c r="H4" s="272">
        <f>VLOOKUP(H50,A46:B446,2,0)</f>
        <v>0.0984972246968056</v>
      </c>
      <c r="I4" s="287"/>
      <c r="J4" s="288">
        <f>H50/4</f>
        <v>33.75</v>
      </c>
      <c r="K4" s="289"/>
      <c r="L4" s="257"/>
      <c r="M4" s="257"/>
      <c r="N4" s="257"/>
      <c r="O4" s="257"/>
      <c r="P4" s="257"/>
      <c r="Q4" s="257"/>
    </row>
    <row r="5" ht="15.15" spans="1:17">
      <c r="A5" s="257"/>
      <c r="B5" s="267" t="s">
        <v>177</v>
      </c>
      <c r="C5" s="268"/>
      <c r="D5" s="269">
        <v>273</v>
      </c>
      <c r="E5" s="257"/>
      <c r="F5" s="270" t="str">
        <f>IF(H3&gt;D8,"你被偷了","你偷了别人")</f>
        <v>你被偷了</v>
      </c>
      <c r="G5" s="273"/>
      <c r="H5" s="274">
        <f>IF(H3&gt;D8,H3-D8,D8-H3)</f>
        <v>15.125</v>
      </c>
      <c r="I5" s="290"/>
      <c r="J5" s="291"/>
      <c r="K5" s="292"/>
      <c r="L5" s="257"/>
      <c r="M5" s="257"/>
      <c r="N5" s="257"/>
      <c r="O5" s="257"/>
      <c r="P5" s="257"/>
      <c r="Q5" s="257"/>
    </row>
    <row r="6" ht="15.15" spans="1:17">
      <c r="A6" s="257"/>
      <c r="B6" s="267" t="s">
        <v>178</v>
      </c>
      <c r="C6" s="268"/>
      <c r="D6" s="269">
        <v>343</v>
      </c>
      <c r="E6" s="257"/>
      <c r="F6" s="275" t="str">
        <f>VLOOKUP(1,I46:Q54,2,0)</f>
        <v>其实吧，你也就洒洒水一般非酋罢了，比你非的人也不少</v>
      </c>
      <c r="G6" s="276"/>
      <c r="H6" s="276"/>
      <c r="I6" s="276"/>
      <c r="J6" s="276"/>
      <c r="K6" s="293"/>
      <c r="L6" s="257"/>
      <c r="M6" s="257"/>
      <c r="N6" s="257"/>
      <c r="O6" s="257"/>
      <c r="P6" s="257"/>
      <c r="Q6" s="257"/>
    </row>
    <row r="7" spans="1:17">
      <c r="A7" s="257"/>
      <c r="B7" s="267" t="s">
        <v>179</v>
      </c>
      <c r="C7" s="268"/>
      <c r="D7" s="269">
        <v>293</v>
      </c>
      <c r="E7" s="257"/>
      <c r="F7" s="257"/>
      <c r="G7" s="257"/>
      <c r="H7" s="257"/>
      <c r="I7" s="257"/>
      <c r="J7" s="257"/>
      <c r="K7" s="257"/>
      <c r="L7" s="257"/>
      <c r="M7" s="257"/>
      <c r="N7" s="257"/>
      <c r="O7" s="257"/>
      <c r="P7" s="257"/>
      <c r="Q7" s="257"/>
    </row>
    <row r="8" ht="15.15" spans="1:17">
      <c r="A8" s="257"/>
      <c r="B8" s="277" t="s">
        <v>180</v>
      </c>
      <c r="C8" s="278"/>
      <c r="D8" s="279">
        <v>133</v>
      </c>
      <c r="E8" s="257"/>
      <c r="F8" s="280" t="s">
        <v>181</v>
      </c>
      <c r="G8" s="280"/>
      <c r="H8" s="280"/>
      <c r="I8" s="257"/>
      <c r="J8" s="257"/>
      <c r="K8" s="257"/>
      <c r="L8" s="257"/>
      <c r="M8" s="257"/>
      <c r="N8" s="257"/>
      <c r="O8" s="257"/>
      <c r="P8" s="257"/>
      <c r="Q8" s="257"/>
    </row>
    <row r="9" ht="15.15" spans="1:17">
      <c r="A9" s="257"/>
      <c r="B9" s="257"/>
      <c r="C9" s="257"/>
      <c r="D9" s="257"/>
      <c r="E9" s="257"/>
      <c r="F9" s="280" t="s">
        <v>182</v>
      </c>
      <c r="G9" s="280"/>
      <c r="H9" s="280"/>
      <c r="I9" s="280"/>
      <c r="J9" s="280"/>
      <c r="K9" s="257"/>
      <c r="L9" s="257"/>
      <c r="M9" s="257"/>
      <c r="N9" s="257"/>
      <c r="O9" s="257"/>
      <c r="P9" s="257"/>
      <c r="Q9" s="257"/>
    </row>
    <row r="10" ht="15.15" spans="1:17">
      <c r="A10" s="257"/>
      <c r="B10" s="281" t="s">
        <v>183</v>
      </c>
      <c r="C10" s="282"/>
      <c r="D10" s="283">
        <v>2.04</v>
      </c>
      <c r="E10" s="257"/>
      <c r="F10" s="257"/>
      <c r="G10" s="257"/>
      <c r="H10" s="261"/>
      <c r="I10" s="257"/>
      <c r="J10" s="257"/>
      <c r="K10" s="257"/>
      <c r="L10" s="257"/>
      <c r="M10" s="257"/>
      <c r="N10" s="257"/>
      <c r="O10" s="257"/>
      <c r="P10" s="257"/>
      <c r="Q10" s="257"/>
    </row>
    <row r="11" ht="15.15" spans="1:17">
      <c r="A11" s="257"/>
      <c r="B11" s="270" t="s">
        <v>184</v>
      </c>
      <c r="C11" s="273"/>
      <c r="D11" s="283">
        <f>SUM(D3:D7)/D8/5</f>
        <v>2.29473684210526</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46" spans="1:17">
      <c r="A46">
        <v>0</v>
      </c>
      <c r="B46">
        <v>2.67676699924134e-6</v>
      </c>
      <c r="D46">
        <v>1</v>
      </c>
      <c r="E46">
        <f>D10*5</f>
        <v>10.2</v>
      </c>
      <c r="F46">
        <f>D46+E46</f>
        <v>11.2</v>
      </c>
      <c r="I46">
        <f>IF(H50=0,1,0)</f>
        <v>0</v>
      </c>
      <c r="J46" s="31" t="s">
        <v>185</v>
      </c>
      <c r="K46" s="31"/>
      <c r="L46" s="31"/>
      <c r="M46" s="31"/>
      <c r="N46" s="31"/>
      <c r="O46" s="31"/>
      <c r="P46" s="31"/>
      <c r="Q46" s="31"/>
    </row>
    <row r="47" spans="1:17">
      <c r="A47">
        <v>1</v>
      </c>
      <c r="B47">
        <v>5.57589418927417e-6</v>
      </c>
      <c r="C47" t="s">
        <v>186</v>
      </c>
      <c r="D47" t="s">
        <v>187</v>
      </c>
      <c r="E47" t="s">
        <v>188</v>
      </c>
      <c r="F47" t="s">
        <v>189</v>
      </c>
      <c r="G47" t="s">
        <v>190</v>
      </c>
      <c r="I47">
        <f>IF(AND(H50&gt;0,H50&lt;=80),1,0)</f>
        <v>0</v>
      </c>
      <c r="J47" s="31" t="s">
        <v>191</v>
      </c>
      <c r="K47" s="31"/>
      <c r="L47" s="31"/>
      <c r="M47" s="31"/>
      <c r="N47" s="31"/>
      <c r="O47" s="31"/>
      <c r="P47" s="31"/>
      <c r="Q47" s="31"/>
    </row>
    <row r="48" spans="1:17">
      <c r="A48">
        <v>2</v>
      </c>
      <c r="B48">
        <v>8.7145973947787e-6</v>
      </c>
      <c r="C48">
        <f>SUM(D3:D8)</f>
        <v>1659</v>
      </c>
      <c r="D48">
        <f>D46/F46</f>
        <v>0.0892857142857143</v>
      </c>
      <c r="E48">
        <f>1-D48</f>
        <v>0.910714285714286</v>
      </c>
      <c r="F48">
        <f>C48*D48</f>
        <v>148.125</v>
      </c>
      <c r="G48">
        <f>(D48*E48*C48)^0.5</f>
        <v>11.6146267082257</v>
      </c>
      <c r="I48">
        <f>IF(AND(H50&gt;80,H50&lt;=120),1,0)</f>
        <v>0</v>
      </c>
      <c r="J48" s="31" t="s">
        <v>192</v>
      </c>
      <c r="K48" s="31"/>
      <c r="L48" s="31"/>
      <c r="M48" s="31"/>
      <c r="N48" s="31"/>
      <c r="O48" s="31"/>
      <c r="P48" s="31"/>
      <c r="Q48" s="31"/>
    </row>
    <row r="49" spans="1:17">
      <c r="A49">
        <v>3</v>
      </c>
      <c r="B49">
        <v>1.21113155694716e-5</v>
      </c>
      <c r="F49" t="s">
        <v>193</v>
      </c>
      <c r="G49" t="s">
        <v>194</v>
      </c>
      <c r="H49" t="s">
        <v>195</v>
      </c>
      <c r="I49">
        <f>IF(AND(H50&gt;120,H50&lt;=160),1,0)</f>
        <v>1</v>
      </c>
      <c r="J49" s="31" t="s">
        <v>196</v>
      </c>
      <c r="K49" s="31"/>
      <c r="L49" s="31"/>
      <c r="M49" s="31"/>
      <c r="N49" s="31"/>
      <c r="O49" s="31"/>
      <c r="P49" s="31"/>
      <c r="Q49" s="31"/>
    </row>
    <row r="50" spans="1:17">
      <c r="A50">
        <v>4</v>
      </c>
      <c r="B50">
        <v>1.57857885757796e-5</v>
      </c>
      <c r="F50">
        <f>D8-F48</f>
        <v>-15.125</v>
      </c>
      <c r="G50">
        <f>ROUND(F50/G48*50+200,0)</f>
        <v>135</v>
      </c>
      <c r="H50">
        <f>IF(G50&lt;0,0,IF(G50&gt;400,400,G50))</f>
        <v>135</v>
      </c>
      <c r="I50">
        <f>IF(AND(H50&gt;160,H50&lt;=240),1,0)</f>
        <v>0</v>
      </c>
      <c r="J50" s="31" t="s">
        <v>197</v>
      </c>
      <c r="K50" s="31"/>
      <c r="L50" s="31"/>
      <c r="M50" s="31"/>
      <c r="N50" s="31"/>
      <c r="O50" s="31"/>
      <c r="P50" s="31"/>
      <c r="Q50" s="31"/>
    </row>
    <row r="51" spans="1:17">
      <c r="A51">
        <v>5</v>
      </c>
      <c r="B51">
        <v>1.97591391922322e-5</v>
      </c>
      <c r="I51">
        <f>IF(AND(H50&gt;240,H50&lt;=280),1,0)</f>
        <v>0</v>
      </c>
      <c r="J51" s="31" t="s">
        <v>198</v>
      </c>
      <c r="K51" s="31"/>
      <c r="L51" s="31"/>
      <c r="M51" s="31"/>
      <c r="N51" s="31"/>
      <c r="O51" s="31"/>
      <c r="P51" s="31"/>
      <c r="Q51" s="31"/>
    </row>
    <row r="52" spans="1:17">
      <c r="A52">
        <v>6</v>
      </c>
      <c r="B52">
        <v>2.40539595245514e-5</v>
      </c>
      <c r="I52">
        <f>IF(AND(H50&gt;280,H50&lt;=320),1,0)</f>
        <v>0</v>
      </c>
      <c r="J52" s="31" t="s">
        <v>199</v>
      </c>
      <c r="K52" s="31"/>
      <c r="L52" s="31"/>
      <c r="M52" s="31"/>
      <c r="N52" s="31"/>
      <c r="O52" s="31"/>
      <c r="P52" s="31"/>
      <c r="Q52" s="31"/>
    </row>
    <row r="53" spans="1:17">
      <c r="A53">
        <v>7</v>
      </c>
      <c r="B53">
        <v>2.86944019998066e-5</v>
      </c>
      <c r="I53">
        <f>IF(AND(H50&gt;320,H50&lt;400),1,0)</f>
        <v>0</v>
      </c>
      <c r="J53" s="31" t="s">
        <v>200</v>
      </c>
      <c r="K53" s="31"/>
      <c r="L53" s="31"/>
      <c r="M53" s="31"/>
      <c r="N53" s="31"/>
      <c r="O53" s="31"/>
      <c r="P53" s="31"/>
      <c r="Q53" s="31"/>
    </row>
    <row r="54" spans="1:17">
      <c r="A54">
        <v>8</v>
      </c>
      <c r="B54">
        <v>3.37062751261618e-5</v>
      </c>
      <c r="I54">
        <f>IF(H50=400,1,0)</f>
        <v>0</v>
      </c>
      <c r="J54" s="31" t="s">
        <v>201</v>
      </c>
      <c r="K54" s="31"/>
      <c r="L54" s="31"/>
      <c r="M54" s="31"/>
      <c r="N54" s="31"/>
      <c r="O54" s="31"/>
      <c r="P54" s="31"/>
      <c r="Q54" s="31"/>
    </row>
    <row r="55" spans="1:2">
      <c r="A55">
        <v>9</v>
      </c>
      <c r="B55">
        <v>3.91171442036085e-5</v>
      </c>
    </row>
    <row r="56" ht="15.15" spans="1:2">
      <c r="A56">
        <v>10</v>
      </c>
      <c r="B56">
        <v>4.49564371736543e-5</v>
      </c>
    </row>
    <row r="57" ht="15.15" spans="1:17">
      <c r="A57">
        <v>11</v>
      </c>
      <c r="B57">
        <v>5.12555557981578e-5</v>
      </c>
      <c r="F57" s="284" t="s">
        <v>202</v>
      </c>
      <c r="G57" s="285"/>
      <c r="H57" s="285"/>
      <c r="I57" s="285"/>
      <c r="J57" s="285"/>
      <c r="K57" s="285"/>
      <c r="L57" s="285"/>
      <c r="M57" s="285"/>
      <c r="N57" s="285"/>
      <c r="O57" s="285"/>
      <c r="P57" s="285"/>
      <c r="Q57" s="294"/>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203</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204</v>
      </c>
      <c r="I70" s="295">
        <v>67</v>
      </c>
      <c r="J70" s="295">
        <v>136</v>
      </c>
      <c r="K70" s="295">
        <v>125</v>
      </c>
      <c r="L70" s="295">
        <v>87</v>
      </c>
      <c r="M70" s="295">
        <v>97</v>
      </c>
      <c r="N70" s="295">
        <v>68</v>
      </c>
      <c r="O70" s="295">
        <v>81</v>
      </c>
      <c r="P70" s="295">
        <v>27</v>
      </c>
      <c r="Q70" s="295">
        <v>86</v>
      </c>
    </row>
    <row r="71" spans="1:17">
      <c r="A71">
        <v>25</v>
      </c>
      <c r="B71">
        <v>0.000211119745928457</v>
      </c>
      <c r="H71" t="s">
        <v>205</v>
      </c>
      <c r="I71" s="295">
        <v>167</v>
      </c>
      <c r="J71" s="295">
        <v>245</v>
      </c>
      <c r="K71" s="295">
        <v>222</v>
      </c>
      <c r="L71" s="295">
        <v>164</v>
      </c>
      <c r="M71" s="295">
        <v>227</v>
      </c>
      <c r="N71" s="295">
        <v>119</v>
      </c>
      <c r="O71" s="295">
        <v>196</v>
      </c>
      <c r="P71" s="295">
        <v>74</v>
      </c>
      <c r="Q71" s="295">
        <v>185</v>
      </c>
    </row>
    <row r="72" spans="1:17">
      <c r="A72">
        <v>26</v>
      </c>
      <c r="B72">
        <v>0.000229836325192643</v>
      </c>
      <c r="H72" t="s">
        <v>206</v>
      </c>
      <c r="I72" s="296">
        <f t="shared" ref="I72:Q72" si="0">I71/I70</f>
        <v>2.49253731343284</v>
      </c>
      <c r="J72" s="296">
        <f t="shared" si="0"/>
        <v>1.80147058823529</v>
      </c>
      <c r="K72" s="296">
        <f t="shared" si="0"/>
        <v>1.776</v>
      </c>
      <c r="L72" s="296">
        <f t="shared" si="0"/>
        <v>1.88505747126437</v>
      </c>
      <c r="M72" s="296">
        <f t="shared" si="0"/>
        <v>2.34020618556701</v>
      </c>
      <c r="N72" s="296">
        <f t="shared" si="0"/>
        <v>1.75</v>
      </c>
      <c r="O72" s="296">
        <f t="shared" si="0"/>
        <v>2.41975308641975</v>
      </c>
      <c r="P72" s="296">
        <f t="shared" si="0"/>
        <v>2.74074074074074</v>
      </c>
      <c r="Q72" s="296">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207</v>
      </c>
      <c r="N78" s="297">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Q1" workbookViewId="0">
      <selection activeCell="R28" sqref="R28"/>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16</v>
      </c>
      <c r="B1" t="s">
        <v>208</v>
      </c>
      <c r="C1">
        <f>数据表!I3</f>
        <v>24</v>
      </c>
      <c r="D1" t="s">
        <v>208</v>
      </c>
      <c r="F1" s="1" t="s">
        <v>80</v>
      </c>
      <c r="G1" s="2"/>
      <c r="H1" s="1" t="s">
        <v>209</v>
      </c>
      <c r="I1" s="2"/>
      <c r="J1" s="1" t="s">
        <v>210</v>
      </c>
      <c r="K1" s="2"/>
      <c r="L1" s="1" t="s">
        <v>211</v>
      </c>
      <c r="M1" s="2"/>
      <c r="N1" s="1" t="s">
        <v>212</v>
      </c>
      <c r="O1" s="160"/>
      <c r="P1" s="160"/>
      <c r="Q1" s="2"/>
      <c r="R1" s="218" t="s">
        <v>213</v>
      </c>
      <c r="S1" s="219"/>
      <c r="T1" s="219"/>
      <c r="U1" s="220"/>
      <c r="V1" s="221"/>
    </row>
    <row r="2" ht="16.35" spans="1:23">
      <c r="A2">
        <f>数据表!H4</f>
        <v>21</v>
      </c>
      <c r="B2" t="s">
        <v>214</v>
      </c>
      <c r="C2">
        <f>数据表!I4</f>
        <v>25</v>
      </c>
      <c r="D2" t="s">
        <v>214</v>
      </c>
      <c r="F2" s="3" t="s">
        <v>215</v>
      </c>
      <c r="G2" s="4" t="s">
        <v>216</v>
      </c>
      <c r="H2" s="143" t="s">
        <v>217</v>
      </c>
      <c r="I2" s="161" t="s">
        <v>218</v>
      </c>
      <c r="J2" s="162" t="s">
        <v>217</v>
      </c>
      <c r="K2" s="163" t="s">
        <v>218</v>
      </c>
      <c r="L2" s="164" t="s">
        <v>112</v>
      </c>
      <c r="M2" s="165" t="s">
        <v>111</v>
      </c>
      <c r="N2" s="166" t="s">
        <v>69</v>
      </c>
      <c r="O2" s="167" t="s">
        <v>74</v>
      </c>
      <c r="P2" s="168" t="s">
        <v>113</v>
      </c>
      <c r="Q2" s="222" t="s">
        <v>89</v>
      </c>
      <c r="R2" s="223" t="s">
        <v>219</v>
      </c>
      <c r="S2" s="224" t="s">
        <v>220</v>
      </c>
      <c r="T2" s="225" t="s">
        <v>221</v>
      </c>
      <c r="U2" s="226" t="s">
        <v>222</v>
      </c>
      <c r="V2" s="227" t="s">
        <v>223</v>
      </c>
      <c r="W2" s="228" t="s">
        <v>224</v>
      </c>
    </row>
    <row r="3" ht="15.6" spans="1:24">
      <c r="A3">
        <f>数据表!H5</f>
        <v>25</v>
      </c>
      <c r="B3" t="s">
        <v>225</v>
      </c>
      <c r="C3">
        <f>数据表!I5</f>
        <v>26</v>
      </c>
      <c r="D3" t="s">
        <v>225</v>
      </c>
      <c r="F3" s="5" t="s">
        <v>226</v>
      </c>
      <c r="G3" s="144">
        <v>1</v>
      </c>
      <c r="H3" s="145">
        <f>COUNTIF(U4:U28,"&gt;"&amp;U3)+1</f>
        <v>16</v>
      </c>
      <c r="I3" s="153">
        <f>COUNTIF(V4:V28,"&gt;"&amp;V3)+1</f>
        <v>24</v>
      </c>
      <c r="J3" s="169">
        <f t="shared" ref="J3:J10" si="0">T3/R3*100</f>
        <v>65.561958041958</v>
      </c>
      <c r="K3" s="170">
        <f t="shared" ref="K3:K28" si="1">T3/S3*100</f>
        <v>21.3076363636363</v>
      </c>
      <c r="L3" s="171">
        <v>0</v>
      </c>
      <c r="M3" s="172">
        <v>3</v>
      </c>
      <c r="N3" s="173">
        <v>2.8</v>
      </c>
      <c r="O3" s="174">
        <v>0.71</v>
      </c>
      <c r="P3" s="175">
        <v>40</v>
      </c>
      <c r="Q3" s="229">
        <v>0</v>
      </c>
      <c r="R3" s="192">
        <f>L3*K32+M3*L32+(G3+F32)*G32</f>
        <v>4875</v>
      </c>
      <c r="S3" s="230">
        <f>IF(G3&gt;M32,G3*G32-M32*G34,M32*G33)+L3*K32+M3*L32</f>
        <v>15000</v>
      </c>
      <c r="T3" s="231">
        <f>(N3*'倾向-优先级表'!J117+O3*'倾向-优先级表'!K117+Q3*'倾向-优先级表'!M117)*G3+P3*'倾向-优先级表'!L117*G3</f>
        <v>3196.14545454545</v>
      </c>
      <c r="U3" s="232">
        <f>(J3-X3)*R3</f>
        <v>-350844.204545455</v>
      </c>
      <c r="V3" s="233">
        <f>(K3-'倾向-优先级表'!D7)*S3</f>
        <v>-472835.454545455</v>
      </c>
      <c r="W3" s="98">
        <f>-X3*R3</f>
        <v>-670458.75</v>
      </c>
      <c r="X3">
        <f>'倾向-优先级表'!D6</f>
        <v>137.53</v>
      </c>
    </row>
    <row r="4" ht="15.6" spans="1:24">
      <c r="A4">
        <f>数据表!H6</f>
        <v>7</v>
      </c>
      <c r="B4" t="s">
        <v>227</v>
      </c>
      <c r="C4">
        <f>数据表!I6</f>
        <v>13</v>
      </c>
      <c r="D4" t="s">
        <v>227</v>
      </c>
      <c r="F4" s="7" t="s">
        <v>226</v>
      </c>
      <c r="G4" s="146">
        <v>2</v>
      </c>
      <c r="H4" s="147">
        <f>COUNTIF(U5:U28,"&gt;"&amp;U4)+1+COUNTIF(U3:U3,"&gt;="&amp;U4)</f>
        <v>21</v>
      </c>
      <c r="I4" s="176">
        <f>COUNTIF(V5:V28,"&gt;"&amp;V4)+1+COUNTIF(V3:V3,"&gt;="&amp;V4)</f>
        <v>25</v>
      </c>
      <c r="J4" s="177">
        <f t="shared" si="0"/>
        <v>49.4629236363636</v>
      </c>
      <c r="K4" s="178">
        <f t="shared" si="1"/>
        <v>25.7619393939394</v>
      </c>
      <c r="L4" s="179">
        <v>0</v>
      </c>
      <c r="M4" s="180">
        <v>6</v>
      </c>
      <c r="N4" s="181">
        <v>1.96</v>
      </c>
      <c r="O4" s="182">
        <v>0.54</v>
      </c>
      <c r="P4" s="183">
        <v>30.16</v>
      </c>
      <c r="Q4" s="234">
        <v>0</v>
      </c>
      <c r="R4" s="179">
        <f>L4*K32+M4*L32+(G4+F32)*G32</f>
        <v>9375</v>
      </c>
      <c r="S4" s="235">
        <f>IF(G4&gt;M32,G4*G32-M32*G34,M32*G33)+L4*K32+M4*L32</f>
        <v>18000</v>
      </c>
      <c r="T4" s="236">
        <f>(N4*'倾向-优先级表'!J117+O4*'倾向-优先级表'!K117+Q4*'倾向-优先级表'!M117)*G4+P4*'倾向-优先级表'!L117*G4</f>
        <v>4637.14909090909</v>
      </c>
      <c r="U4" s="237">
        <f t="shared" ref="U4:U28" si="2">(J4-X4)*R4</f>
        <v>-825628.840909091</v>
      </c>
      <c r="V4" s="238">
        <f>(K4-'倾向-优先级表'!D7)*S4</f>
        <v>-487225.090909091</v>
      </c>
      <c r="W4" s="98">
        <f t="shared" ref="W4:W28" si="3">-X4*R4</f>
        <v>-1289343.75</v>
      </c>
      <c r="X4">
        <f>'倾向-优先级表'!D6</f>
        <v>137.53</v>
      </c>
    </row>
    <row r="5" ht="15.6" spans="1:24">
      <c r="A5">
        <f>数据表!H7</f>
        <v>6</v>
      </c>
      <c r="B5" t="s">
        <v>228</v>
      </c>
      <c r="C5">
        <f>数据表!I7</f>
        <v>19</v>
      </c>
      <c r="D5" t="s">
        <v>228</v>
      </c>
      <c r="F5" s="9" t="s">
        <v>226</v>
      </c>
      <c r="G5" s="148">
        <v>4</v>
      </c>
      <c r="H5" s="147">
        <f>COUNTIF(U6:U28,"&gt;"&amp;U5)+1+COUNTIF(U3:U4,"&gt;="&amp;U5)</f>
        <v>25</v>
      </c>
      <c r="I5" s="176">
        <f>COUNTIF(V6:V28,"&gt;"&amp;V5)+1+COUNTIF(V3:V4,"&gt;="&amp;V5)</f>
        <v>26</v>
      </c>
      <c r="J5" s="177">
        <f t="shared" si="0"/>
        <v>37.7689715475364</v>
      </c>
      <c r="K5" s="178">
        <f t="shared" si="1"/>
        <v>28.112132231405</v>
      </c>
      <c r="L5" s="179">
        <v>0</v>
      </c>
      <c r="M5" s="180">
        <v>10</v>
      </c>
      <c r="N5" s="184">
        <v>1.395</v>
      </c>
      <c r="O5" s="185">
        <v>0.31</v>
      </c>
      <c r="P5" s="183">
        <v>20.77</v>
      </c>
      <c r="Q5" s="234">
        <v>0</v>
      </c>
      <c r="R5" s="179">
        <f>L5*K32+M5*L32+(G5+F32)*G32</f>
        <v>16375</v>
      </c>
      <c r="S5" s="235">
        <f>IF(G5&gt;M32,G5*G32-M32*G34,M32*G33)+L5*K32+M5*L32</f>
        <v>22000</v>
      </c>
      <c r="T5" s="236">
        <f>(N5*'倾向-优先级表'!J117+O5*'倾向-优先级表'!K117+Q5*'倾向-优先级表'!M117)*G5+P5*'倾向-优先级表'!L117*G5</f>
        <v>6184.66909090909</v>
      </c>
      <c r="U5" s="237">
        <f t="shared" si="2"/>
        <v>-1633586.84090909</v>
      </c>
      <c r="V5" s="238">
        <f>(K5-'倾向-优先级表'!D7)*S5</f>
        <v>-543793.090909091</v>
      </c>
      <c r="W5" s="98">
        <f t="shared" si="3"/>
        <v>-2252053.75</v>
      </c>
      <c r="X5">
        <f>'倾向-优先级表'!D6</f>
        <v>137.53</v>
      </c>
    </row>
    <row r="6" ht="16.35" spans="1:24">
      <c r="A6">
        <f>数据表!H8</f>
        <v>5</v>
      </c>
      <c r="B6" t="s">
        <v>229</v>
      </c>
      <c r="C6">
        <f>数据表!I8</f>
        <v>12</v>
      </c>
      <c r="D6" t="s">
        <v>229</v>
      </c>
      <c r="F6" s="11" t="s">
        <v>230</v>
      </c>
      <c r="G6" s="149">
        <v>0.5</v>
      </c>
      <c r="H6" s="150">
        <f>COUNTIF(U7:U28,"&gt;"&amp;U6)+1+COUNTIF(U3:U5,"&gt;="&amp;U6)</f>
        <v>7</v>
      </c>
      <c r="I6" s="186">
        <f>COUNTIF(V7:V28,"&gt;"&amp;V6)+1+COUNTIF(V3:V5,"&gt;="&amp;V6)</f>
        <v>13</v>
      </c>
      <c r="J6" s="187">
        <f t="shared" si="0"/>
        <v>135.328132231405</v>
      </c>
      <c r="K6" s="188">
        <f t="shared" si="1"/>
        <v>37.2152363636363</v>
      </c>
      <c r="L6" s="189">
        <v>8000</v>
      </c>
      <c r="M6" s="190">
        <v>3</v>
      </c>
      <c r="N6" s="173">
        <v>9.78</v>
      </c>
      <c r="O6" s="174">
        <v>1.97</v>
      </c>
      <c r="P6" s="175">
        <v>194.49</v>
      </c>
      <c r="Q6" s="239">
        <v>0</v>
      </c>
      <c r="R6" s="189">
        <f>L6*K32+M6*L32+(G6+F32)*G32</f>
        <v>4125</v>
      </c>
      <c r="S6" s="240">
        <f>IF(G6&gt;M32,G6*G32-M32*G34,M32*G33)+L6*K32+M6*L32</f>
        <v>15000</v>
      </c>
      <c r="T6" s="241">
        <f>(N6*'倾向-优先级表'!J117+O6*'倾向-优先级表'!K117+Q6*'倾向-优先级表'!M117)*G6+P6*'倾向-优先级表'!L117*G6</f>
        <v>5582.28545454545</v>
      </c>
      <c r="U6" s="242">
        <f t="shared" si="2"/>
        <v>-9082.704545455</v>
      </c>
      <c r="V6" s="243">
        <f>(K6-'倾向-优先级表'!D7)*S6</f>
        <v>-234221.454545455</v>
      </c>
      <c r="W6" s="98">
        <f t="shared" si="3"/>
        <v>-567311.25</v>
      </c>
      <c r="X6">
        <f>'倾向-优先级表'!D6</f>
        <v>137.53</v>
      </c>
    </row>
    <row r="7" ht="15.6" spans="1:24">
      <c r="A7">
        <f>数据表!H9</f>
        <v>4</v>
      </c>
      <c r="B7" t="s">
        <v>231</v>
      </c>
      <c r="C7">
        <f>数据表!I9</f>
        <v>3</v>
      </c>
      <c r="D7" t="s">
        <v>231</v>
      </c>
      <c r="F7" s="13" t="s">
        <v>232</v>
      </c>
      <c r="G7" s="14">
        <v>1</v>
      </c>
      <c r="H7" s="151">
        <f>COUNTIF(U8:U28,"&gt;"&amp;U7)+1+COUNTIF(U3:U6,"&gt;="&amp;U7)</f>
        <v>6</v>
      </c>
      <c r="I7" s="154">
        <f>COUNTIF(V8:V28,"&gt;"&amp;V7)+1+COUNTIF(V3:V6,"&gt;="&amp;V7)</f>
        <v>19</v>
      </c>
      <c r="J7" s="191">
        <f t="shared" si="0"/>
        <v>142.801454545454</v>
      </c>
      <c r="K7" s="170">
        <f t="shared" si="1"/>
        <v>22.3127272727273</v>
      </c>
      <c r="L7" s="192">
        <v>0</v>
      </c>
      <c r="M7" s="193">
        <v>0</v>
      </c>
      <c r="N7" s="194">
        <v>0</v>
      </c>
      <c r="O7" s="195">
        <v>0</v>
      </c>
      <c r="P7" s="196">
        <v>0</v>
      </c>
      <c r="Q7" s="244">
        <v>0.052</v>
      </c>
      <c r="R7" s="192">
        <f>L7*K32+M7*L32+(G7+F32)*G32</f>
        <v>1875</v>
      </c>
      <c r="S7" s="230">
        <f>IF(G7&gt;M32,G7*G32-M32*G34,M32*G33)+L7*K32+M7*L32</f>
        <v>12000</v>
      </c>
      <c r="T7" s="231">
        <f>(N7*'倾向-优先级表'!J117+O7*'倾向-优先级表'!K117+Q7*'倾向-优先级表'!M117)*G7</f>
        <v>2677.52727272727</v>
      </c>
      <c r="U7" s="232">
        <f t="shared" si="2"/>
        <v>9883.97727272703</v>
      </c>
      <c r="V7" s="233">
        <f>(K7-'倾向-优先级表'!D7)*S7</f>
        <v>-366207.272727273</v>
      </c>
      <c r="W7" s="98">
        <f t="shared" si="3"/>
        <v>-257868.75</v>
      </c>
      <c r="X7">
        <f>'倾向-优先级表'!D6</f>
        <v>137.53</v>
      </c>
    </row>
    <row r="8" ht="15.6" spans="1:24">
      <c r="A8">
        <f>数据表!H10</f>
        <v>1</v>
      </c>
      <c r="B8" t="s">
        <v>233</v>
      </c>
      <c r="C8">
        <f>数据表!I10</f>
        <v>1</v>
      </c>
      <c r="D8" t="s">
        <v>233</v>
      </c>
      <c r="F8" s="15" t="s">
        <v>232</v>
      </c>
      <c r="G8" s="16">
        <v>2</v>
      </c>
      <c r="H8" s="151">
        <f>COUNTIF(U9:U28,"&gt;"&amp;U8)+1+COUNTIF(U3:U7,"&gt;="&amp;U8)</f>
        <v>5</v>
      </c>
      <c r="I8" s="154">
        <f>COUNTIF(V9:V28,"&gt;"&amp;V8)+1+COUNTIF(V3:V7,"&gt;="&amp;V8)</f>
        <v>12</v>
      </c>
      <c r="J8" s="177">
        <f t="shared" si="0"/>
        <v>143.411717171717</v>
      </c>
      <c r="K8" s="178">
        <f t="shared" si="1"/>
        <v>40.3345454545454</v>
      </c>
      <c r="L8" s="179">
        <v>0</v>
      </c>
      <c r="M8" s="180">
        <v>0</v>
      </c>
      <c r="N8" s="184">
        <v>0</v>
      </c>
      <c r="O8" s="185">
        <v>0</v>
      </c>
      <c r="P8" s="197">
        <v>0</v>
      </c>
      <c r="Q8" s="234">
        <v>0.047</v>
      </c>
      <c r="R8" s="179">
        <f>L8*K32+M8*L32+(G8+F32)*G32</f>
        <v>3375</v>
      </c>
      <c r="S8" s="235">
        <f>IF(G8&gt;M32,G8*G32-M32*G34,M32*G33)+L8*K32+M8*L32</f>
        <v>12000</v>
      </c>
      <c r="T8" s="236">
        <f>(N8*'倾向-优先级表'!J117+O8*'倾向-优先级表'!K117+Q8*'倾向-优先级表'!M117)*G8</f>
        <v>4840.14545454545</v>
      </c>
      <c r="U8" s="237">
        <f t="shared" si="2"/>
        <v>19850.795454545</v>
      </c>
      <c r="V8" s="238">
        <f>(K8-'倾向-优先级表'!D7)*S8</f>
        <v>-149945.454545455</v>
      </c>
      <c r="W8" s="98">
        <f t="shared" si="3"/>
        <v>-464163.75</v>
      </c>
      <c r="X8">
        <f>'倾向-优先级表'!D6</f>
        <v>137.53</v>
      </c>
    </row>
    <row r="9" ht="15.6" spans="1:24">
      <c r="A9">
        <f>数据表!H11</f>
        <v>11</v>
      </c>
      <c r="B9" t="s">
        <v>234</v>
      </c>
      <c r="C9">
        <f>数据表!I11</f>
        <v>16</v>
      </c>
      <c r="D9" t="s">
        <v>234</v>
      </c>
      <c r="F9" s="7" t="s">
        <v>232</v>
      </c>
      <c r="G9" s="8">
        <v>4</v>
      </c>
      <c r="H9" s="151">
        <f>COUNTIF(U10:U28,"&gt;"&amp;U9)+1+COUNTIF(U3:U8,"&gt;="&amp;U9)</f>
        <v>4</v>
      </c>
      <c r="I9" s="154">
        <f>COUNTIF(V10:V28,"&gt;"&amp;V9)+1+COUNTIF(V3:V8,"&gt;="&amp;V9)</f>
        <v>3</v>
      </c>
      <c r="J9" s="177">
        <f t="shared" si="0"/>
        <v>164.77090909091</v>
      </c>
      <c r="K9" s="178">
        <f t="shared" si="1"/>
        <v>87.5345454545458</v>
      </c>
      <c r="L9" s="179">
        <v>0</v>
      </c>
      <c r="M9" s="180">
        <v>0</v>
      </c>
      <c r="N9" s="173">
        <v>0</v>
      </c>
      <c r="O9" s="174">
        <v>0</v>
      </c>
      <c r="P9" s="198">
        <v>0</v>
      </c>
      <c r="Q9" s="234">
        <v>0.051</v>
      </c>
      <c r="R9" s="179">
        <f>L9*K32+M9*L32+(G9+F32)*G32</f>
        <v>6375</v>
      </c>
      <c r="S9" s="235">
        <f>IF(G9&gt;M32,G9*G32-M32*G34,M32*G33)+L9*K32+M9*L32</f>
        <v>12000</v>
      </c>
      <c r="T9" s="236">
        <f>(N9*'倾向-优先级表'!J117+O9*'倾向-优先级表'!K117+Q9*'倾向-优先级表'!M117)*G9</f>
        <v>10504.1454545455</v>
      </c>
      <c r="U9" s="237">
        <f t="shared" si="2"/>
        <v>173660.79545455</v>
      </c>
      <c r="V9" s="238">
        <f>(K9-'倾向-优先级表'!D7)*S9</f>
        <v>416454.54545455</v>
      </c>
      <c r="W9" s="98">
        <f t="shared" si="3"/>
        <v>-876753.75</v>
      </c>
      <c r="X9">
        <f>'倾向-优先级表'!D6</f>
        <v>137.53</v>
      </c>
    </row>
    <row r="10" ht="16.35" spans="1:24">
      <c r="A10">
        <f>数据表!H12</f>
        <v>19</v>
      </c>
      <c r="B10" t="s">
        <v>235</v>
      </c>
      <c r="C10">
        <f>数据表!I12</f>
        <v>11</v>
      </c>
      <c r="D10" t="s">
        <v>235</v>
      </c>
      <c r="F10" s="17" t="s">
        <v>232</v>
      </c>
      <c r="G10" s="18">
        <v>0.5</v>
      </c>
      <c r="H10" s="152">
        <f>COUNTIF(U11:U28,"&gt;"&amp;U10)+1+COUNTIF(U3:U9,"&gt;="&amp;U10)</f>
        <v>1</v>
      </c>
      <c r="I10" s="155">
        <f>COUNTIF(V11:V28,"&gt;"&amp;V10)+1+COUNTIF(V3:V9,"&gt;="&amp;V10)</f>
        <v>1</v>
      </c>
      <c r="J10" s="199">
        <f t="shared" si="0"/>
        <v>1867.40363636364</v>
      </c>
      <c r="K10" s="188">
        <f t="shared" si="1"/>
        <v>175.069090909091</v>
      </c>
      <c r="L10" s="189">
        <v>5000</v>
      </c>
      <c r="M10" s="190">
        <v>0</v>
      </c>
      <c r="N10" s="200">
        <v>0</v>
      </c>
      <c r="O10" s="201">
        <v>0</v>
      </c>
      <c r="P10" s="202">
        <v>0</v>
      </c>
      <c r="Q10" s="239">
        <v>0.816</v>
      </c>
      <c r="R10" s="189">
        <f>L10*K32+M10*L32+(G10+F32)*G32</f>
        <v>1125</v>
      </c>
      <c r="S10" s="240">
        <f>IF(G10&gt;M32,G10*G32-M32*G34,M32*G33)+L10*K32+M10*L32</f>
        <v>12000</v>
      </c>
      <c r="T10" s="241">
        <f>(N10*'倾向-优先级表'!J117+O10*'倾向-优先级表'!K117+Q10*'倾向-优先级表'!M117)*G10</f>
        <v>21008.2909090909</v>
      </c>
      <c r="U10" s="245">
        <f t="shared" si="2"/>
        <v>1946107.84090909</v>
      </c>
      <c r="V10" s="246">
        <f>(K10-'倾向-优先级表'!D7)*S10</f>
        <v>1466869.09090909</v>
      </c>
      <c r="W10" s="98">
        <f t="shared" si="3"/>
        <v>-154721.25</v>
      </c>
      <c r="X10">
        <f>'倾向-优先级表'!D6</f>
        <v>137.53</v>
      </c>
    </row>
    <row r="11" ht="15.6" spans="1:24">
      <c r="A11">
        <f>数据表!H13</f>
        <v>22</v>
      </c>
      <c r="B11" t="s">
        <v>236</v>
      </c>
      <c r="C11">
        <f>数据表!I13</f>
        <v>6</v>
      </c>
      <c r="D11" t="s">
        <v>236</v>
      </c>
      <c r="F11" s="19" t="s">
        <v>237</v>
      </c>
      <c r="G11" s="6">
        <v>2.5</v>
      </c>
      <c r="H11" s="153">
        <f>COUNTIF(U12:U28,"&gt;"&amp;U11)+1+COUNTIF(U3:U10,"&gt;="&amp;U11)</f>
        <v>11</v>
      </c>
      <c r="I11" s="153">
        <f>COUNTIF(V12:V28,"&gt;"&amp;V11)+1+COUNTIF(V3:V10,"&gt;="&amp;V11)</f>
        <v>16</v>
      </c>
      <c r="J11" s="169">
        <f t="shared" ref="J11:J28" si="4">T11/R11*100</f>
        <v>79.5768595041321</v>
      </c>
      <c r="K11" s="170">
        <f t="shared" si="1"/>
        <v>27.3545454545454</v>
      </c>
      <c r="L11" s="192">
        <v>3000</v>
      </c>
      <c r="M11" s="193">
        <v>0</v>
      </c>
      <c r="N11" s="203">
        <v>0.92</v>
      </c>
      <c r="O11" s="204">
        <v>0</v>
      </c>
      <c r="P11" s="205">
        <v>0</v>
      </c>
      <c r="Q11" s="229">
        <v>0.014</v>
      </c>
      <c r="R11" s="192">
        <f>L11*K32+M11*L32+(G11+F32)*G32</f>
        <v>4125</v>
      </c>
      <c r="S11" s="230">
        <f>IF(G11&gt;M32,G11*G32-M32*G34,M32*G33)+L11*K32+M10*L32</f>
        <v>12000</v>
      </c>
      <c r="T11" s="231">
        <f>(N11*'倾向-优先级表'!J117+O11*'倾向-优先级表'!K117+Q11*'倾向-优先级表'!M117)*G11</f>
        <v>3282.54545454545</v>
      </c>
      <c r="U11" s="247">
        <f t="shared" si="2"/>
        <v>-239056.704545455</v>
      </c>
      <c r="V11" s="248">
        <f>(K11-'倾向-优先级表'!D7)*S11</f>
        <v>-305705.454545455</v>
      </c>
      <c r="W11" s="98">
        <f t="shared" si="3"/>
        <v>-567311.25</v>
      </c>
      <c r="X11">
        <f>'倾向-优先级表'!D6</f>
        <v>137.53</v>
      </c>
    </row>
    <row r="12" ht="15.6" spans="1:24">
      <c r="A12">
        <f>数据表!H14</f>
        <v>3</v>
      </c>
      <c r="B12" t="s">
        <v>238</v>
      </c>
      <c r="C12">
        <f>数据表!I14</f>
        <v>5</v>
      </c>
      <c r="D12" t="s">
        <v>238</v>
      </c>
      <c r="F12" s="7" t="s">
        <v>237</v>
      </c>
      <c r="G12" s="8">
        <v>5</v>
      </c>
      <c r="H12" s="154">
        <f>COUNTIF(U13:U28,"&gt;"&amp;U12)+1+COUNTIF(U3:U11,"&gt;="&amp;U12)</f>
        <v>19</v>
      </c>
      <c r="I12" s="154">
        <f>COUNTIF(V13:V28,"&gt;"&amp;V12)+1+COUNTIF(V3:V11,"&gt;="&amp;V12)</f>
        <v>11</v>
      </c>
      <c r="J12" s="177">
        <f t="shared" si="4"/>
        <v>63.3419913419914</v>
      </c>
      <c r="K12" s="178">
        <f t="shared" si="1"/>
        <v>41.5681818181818</v>
      </c>
      <c r="L12" s="179">
        <v>5000</v>
      </c>
      <c r="M12" s="180">
        <v>0</v>
      </c>
      <c r="N12" s="173">
        <v>0.75</v>
      </c>
      <c r="O12" s="174">
        <v>0</v>
      </c>
      <c r="P12" s="198">
        <v>0</v>
      </c>
      <c r="Q12" s="234">
        <v>0.01</v>
      </c>
      <c r="R12" s="179">
        <f>L12*K32+M12*L32+(G12+F32)*G32</f>
        <v>7875</v>
      </c>
      <c r="S12" s="235">
        <f>IF(G12&gt;M32,G12*G32-M32*G34,M32*G33)+L12*K32+M12*L32</f>
        <v>12000</v>
      </c>
      <c r="T12" s="236">
        <f>(N12*'倾向-优先级表'!J117+O12*'倾向-优先级表'!K117+Q12*'倾向-优先级表'!M117)*G12</f>
        <v>4988.18181818182</v>
      </c>
      <c r="U12" s="237">
        <f t="shared" si="2"/>
        <v>-584230.568181818</v>
      </c>
      <c r="V12" s="238">
        <f>(K12-'倾向-优先级表'!D7)*S12</f>
        <v>-135141.818181818</v>
      </c>
      <c r="W12" s="98">
        <f t="shared" si="3"/>
        <v>-1083048.75</v>
      </c>
      <c r="X12">
        <f>'倾向-优先级表'!D6</f>
        <v>137.53</v>
      </c>
    </row>
    <row r="13" ht="15.6" spans="1:24">
      <c r="A13">
        <f>数据表!H15</f>
        <v>10</v>
      </c>
      <c r="B13" t="s">
        <v>239</v>
      </c>
      <c r="C13">
        <f>数据表!I15</f>
        <v>14</v>
      </c>
      <c r="D13" t="s">
        <v>239</v>
      </c>
      <c r="F13" s="9" t="s">
        <v>237</v>
      </c>
      <c r="G13" s="10">
        <v>8</v>
      </c>
      <c r="H13" s="154">
        <f>COUNTIF(U14:U28,"&gt;"&amp;U13)+1+COUNTIF(U3:U12,"&gt;="&amp;U13)</f>
        <v>22</v>
      </c>
      <c r="I13" s="154">
        <f>COUNTIF(V14:V28,"&gt;"&amp;V13)+1+COUNTIF(V3:V12,"&gt;="&amp;V13)</f>
        <v>6</v>
      </c>
      <c r="J13" s="177">
        <f t="shared" si="4"/>
        <v>67.8223691460055</v>
      </c>
      <c r="K13" s="188">
        <f t="shared" si="1"/>
        <v>69.9418181818182</v>
      </c>
      <c r="L13" s="179">
        <v>8000</v>
      </c>
      <c r="M13" s="180">
        <v>0</v>
      </c>
      <c r="N13" s="181">
        <v>0.75</v>
      </c>
      <c r="O13" s="182">
        <v>0</v>
      </c>
      <c r="P13" s="206">
        <v>0</v>
      </c>
      <c r="Q13" s="249">
        <v>0.011</v>
      </c>
      <c r="R13" s="179">
        <f>L13*K32+M13*L32+(G13+F32)*G32</f>
        <v>12375</v>
      </c>
      <c r="S13" s="235">
        <f>IF(G13&gt;M32,G13*G32-M32*G34,M32*G33)+L13*K32+M13*L32</f>
        <v>12000</v>
      </c>
      <c r="T13" s="236">
        <f>(N13*'倾向-优先级表'!J117+O13*'倾向-优先级表'!K117+Q13*'倾向-优先级表'!M117)*G13</f>
        <v>8393.01818181818</v>
      </c>
      <c r="U13" s="237">
        <f t="shared" si="2"/>
        <v>-862631.931818182</v>
      </c>
      <c r="V13" s="238">
        <f>(K13-'倾向-优先级表'!D7)*S13</f>
        <v>205341.818181818</v>
      </c>
      <c r="W13" s="98">
        <f t="shared" si="3"/>
        <v>-1701933.75</v>
      </c>
      <c r="X13">
        <f>'倾向-优先级表'!D6</f>
        <v>137.53</v>
      </c>
    </row>
    <row r="14" ht="15.6" spans="1:24">
      <c r="A14">
        <f>数据表!H16</f>
        <v>17</v>
      </c>
      <c r="B14" t="s">
        <v>240</v>
      </c>
      <c r="C14">
        <f>数据表!I16</f>
        <v>9</v>
      </c>
      <c r="D14" t="s">
        <v>240</v>
      </c>
      <c r="F14" s="9" t="s">
        <v>237</v>
      </c>
      <c r="G14" s="10">
        <v>0.5</v>
      </c>
      <c r="H14" s="154">
        <f>COUNTIF(U15:U28,"&gt;"&amp;U14)+1+COUNTIF(U3:U13,"&gt;="&amp;U14)</f>
        <v>3</v>
      </c>
      <c r="I14" s="154">
        <f>COUNTIF(V15:V28,"&gt;"&amp;V14)+1+COUNTIF(V3:V13,"&gt;="&amp;V14)</f>
        <v>5</v>
      </c>
      <c r="J14" s="177">
        <f t="shared" si="4"/>
        <v>197.609499072356</v>
      </c>
      <c r="K14" s="178">
        <f t="shared" si="1"/>
        <v>71.1975401069518</v>
      </c>
      <c r="L14" s="179">
        <v>5000</v>
      </c>
      <c r="M14" s="180">
        <v>5</v>
      </c>
      <c r="N14" s="184">
        <v>17.61</v>
      </c>
      <c r="O14" s="185">
        <v>0</v>
      </c>
      <c r="P14" s="197">
        <v>0</v>
      </c>
      <c r="Q14" s="234">
        <v>0.25</v>
      </c>
      <c r="R14" s="179">
        <f>L14*K32+M14*L32+(G14+F32)*G32</f>
        <v>6125</v>
      </c>
      <c r="S14" s="235">
        <f>IF(G14&gt;M32,G14*G32-M32*G34,M32*G33)+L14*K32+M14*L32</f>
        <v>17000</v>
      </c>
      <c r="T14" s="236">
        <f>(N14*'倾向-优先级表'!J117+O14*'倾向-优先级表'!K117+Q14*'倾向-优先级表'!M117)*G14</f>
        <v>12103.5818181818</v>
      </c>
      <c r="U14" s="237">
        <f t="shared" si="2"/>
        <v>367986.93181818</v>
      </c>
      <c r="V14" s="238">
        <f>(K14-'倾向-优先级表'!D7)*S14</f>
        <v>312248.18181818</v>
      </c>
      <c r="W14" s="98">
        <f t="shared" si="3"/>
        <v>-842371.25</v>
      </c>
      <c r="X14">
        <f>'倾向-优先级表'!D6</f>
        <v>137.53</v>
      </c>
    </row>
    <row r="15" ht="15.6" spans="1:24">
      <c r="A15">
        <f>数据表!H17</f>
        <v>20</v>
      </c>
      <c r="B15" t="s">
        <v>241</v>
      </c>
      <c r="C15">
        <f>数据表!I17</f>
        <v>4</v>
      </c>
      <c r="D15" t="s">
        <v>241</v>
      </c>
      <c r="F15" s="15" t="s">
        <v>242</v>
      </c>
      <c r="G15" s="16">
        <v>2.5</v>
      </c>
      <c r="H15" s="154">
        <f>COUNTIF(U16:U28,"&gt;"&amp;U15)+1+COUNTIF(U3:U14,"&gt;="&amp;U15)</f>
        <v>10</v>
      </c>
      <c r="I15" s="154">
        <f>COUNTIF(V16:V28,"&gt;"&amp;V15)+1+COUNTIF(V3:V14,"&gt;="&amp;V15)</f>
        <v>14</v>
      </c>
      <c r="J15" s="177">
        <f t="shared" si="4"/>
        <v>91.2793388429753</v>
      </c>
      <c r="K15" s="188">
        <f t="shared" si="1"/>
        <v>31.3772727272728</v>
      </c>
      <c r="L15" s="179">
        <v>3000</v>
      </c>
      <c r="M15" s="180">
        <v>0</v>
      </c>
      <c r="N15" s="203">
        <v>0</v>
      </c>
      <c r="O15" s="204">
        <v>0.61</v>
      </c>
      <c r="P15" s="205">
        <v>0</v>
      </c>
      <c r="Q15" s="234">
        <v>0.014</v>
      </c>
      <c r="R15" s="179">
        <f>L15*K32+M15*L32+(G15+F32)*G32</f>
        <v>4125</v>
      </c>
      <c r="S15" s="235">
        <f>IF(G15&gt;M32,G15*G32-M32*G34,M32*G33)+L15*K32+M15*L32</f>
        <v>12000</v>
      </c>
      <c r="T15" s="236">
        <f>(N15*'倾向-优先级表'!J117+O15*'倾向-优先级表'!K117+Q15*'倾向-优先级表'!M117)*G15</f>
        <v>3765.27272727273</v>
      </c>
      <c r="U15" s="237">
        <f t="shared" si="2"/>
        <v>-190783.977272727</v>
      </c>
      <c r="V15" s="238">
        <f>(K15-'倾向-优先级表'!D7)*S15</f>
        <v>-257432.727272727</v>
      </c>
      <c r="W15" s="98">
        <f t="shared" si="3"/>
        <v>-567311.25</v>
      </c>
      <c r="X15">
        <f>'倾向-优先级表'!D6</f>
        <v>137.53</v>
      </c>
    </row>
    <row r="16" ht="15.6" spans="1:24">
      <c r="A16">
        <f>数据表!H18</f>
        <v>2</v>
      </c>
      <c r="B16" t="s">
        <v>243</v>
      </c>
      <c r="C16">
        <f>数据表!I18</f>
        <v>2</v>
      </c>
      <c r="D16" t="s">
        <v>243</v>
      </c>
      <c r="F16" s="7" t="s">
        <v>242</v>
      </c>
      <c r="G16" s="8">
        <v>5</v>
      </c>
      <c r="H16" s="154">
        <f>COUNTIF(U17:U28,"&gt;"&amp;U16)+1+COUNTIF(U3:U15,"&gt;="&amp;U16)</f>
        <v>17</v>
      </c>
      <c r="I16" s="154">
        <f>COUNTIF(V17:V28,"&gt;"&amp;V16)+1+COUNTIF(V3:V15,"&gt;="&amp;V16)</f>
        <v>9</v>
      </c>
      <c r="J16" s="177">
        <f t="shared" si="4"/>
        <v>74.3757575757576</v>
      </c>
      <c r="K16" s="178">
        <f t="shared" si="1"/>
        <v>48.8090909090909</v>
      </c>
      <c r="L16" s="179">
        <v>5000</v>
      </c>
      <c r="M16" s="180">
        <v>0</v>
      </c>
      <c r="N16" s="173">
        <v>0</v>
      </c>
      <c r="O16" s="174">
        <v>0.51</v>
      </c>
      <c r="P16" s="198">
        <v>0</v>
      </c>
      <c r="Q16" s="234">
        <v>0.01</v>
      </c>
      <c r="R16" s="179">
        <f>L16*K32+M16*L32+(G16+F32)*G32</f>
        <v>7875</v>
      </c>
      <c r="S16" s="235">
        <f>IF(G16&gt;M32,G16*G32-M32*G34,M32*G33)+L16*K32+M16*L32</f>
        <v>12000</v>
      </c>
      <c r="T16" s="236">
        <f>(N16*'倾向-优先级表'!J117+O16*'倾向-优先级表'!K117+Q16*'倾向-优先级表'!M117)*G16</f>
        <v>5857.09090909091</v>
      </c>
      <c r="U16" s="237">
        <f t="shared" si="2"/>
        <v>-497339.659090909</v>
      </c>
      <c r="V16" s="238">
        <f>(K16-'倾向-优先级表'!D7)*S16</f>
        <v>-48250.9090909089</v>
      </c>
      <c r="W16" s="98">
        <f t="shared" si="3"/>
        <v>-1083048.75</v>
      </c>
      <c r="X16">
        <f>'倾向-优先级表'!D6</f>
        <v>137.53</v>
      </c>
    </row>
    <row r="17" ht="15.6" spans="1:24">
      <c r="A17">
        <f>数据表!H19</f>
        <v>9</v>
      </c>
      <c r="B17" t="s">
        <v>244</v>
      </c>
      <c r="C17">
        <f>数据表!I19</f>
        <v>21</v>
      </c>
      <c r="D17" t="s">
        <v>244</v>
      </c>
      <c r="F17" s="9" t="s">
        <v>242</v>
      </c>
      <c r="G17" s="10">
        <v>8</v>
      </c>
      <c r="H17" s="154">
        <f>COUNTIF(U18:U28,"&gt;"&amp;U17)+1+COUNTIF(U3:U16,"&gt;="&amp;U17)</f>
        <v>20</v>
      </c>
      <c r="I17" s="154">
        <f>COUNTIF(V18:V28,"&gt;"&amp;V17)+1+COUNTIF(V3:V16,"&gt;="&amp;V17)</f>
        <v>4</v>
      </c>
      <c r="J17" s="177">
        <f t="shared" si="4"/>
        <v>79.0567493112948</v>
      </c>
      <c r="K17" s="178">
        <f t="shared" si="1"/>
        <v>81.5272727272727</v>
      </c>
      <c r="L17" s="179">
        <v>8000</v>
      </c>
      <c r="M17" s="180">
        <v>0</v>
      </c>
      <c r="N17" s="184">
        <v>0</v>
      </c>
      <c r="O17" s="185">
        <v>0.51</v>
      </c>
      <c r="P17" s="197">
        <v>0</v>
      </c>
      <c r="Q17" s="234">
        <v>0.011</v>
      </c>
      <c r="R17" s="179">
        <f>L17*K32+M17*L32+(G17+F32)*G32</f>
        <v>12375</v>
      </c>
      <c r="S17" s="235">
        <f>IF(G17&gt;M32,G17*G32-M32*G34,M32*G33)+L17*K32+M17*L32</f>
        <v>12000</v>
      </c>
      <c r="T17" s="236">
        <f>(N17*'倾向-优先级表'!J117+O17*'倾向-优先级表'!K117+Q17*'倾向-优先级表'!M117)*G17</f>
        <v>9783.27272727273</v>
      </c>
      <c r="U17" s="237">
        <f t="shared" si="2"/>
        <v>-723606.477272727</v>
      </c>
      <c r="V17" s="238">
        <f>(K17-'倾向-优先级表'!D7)*S17</f>
        <v>344367.272727273</v>
      </c>
      <c r="W17" s="98">
        <f t="shared" si="3"/>
        <v>-1701933.75</v>
      </c>
      <c r="X17">
        <f>'倾向-优先级表'!D6</f>
        <v>137.53</v>
      </c>
    </row>
    <row r="18" ht="16.35" spans="1:24">
      <c r="A18">
        <f>数据表!H20</f>
        <v>15</v>
      </c>
      <c r="B18" s="30" t="s">
        <v>245</v>
      </c>
      <c r="C18">
        <f>数据表!I20</f>
        <v>18</v>
      </c>
      <c r="D18" s="30" t="s">
        <v>245</v>
      </c>
      <c r="F18" s="20" t="s">
        <v>242</v>
      </c>
      <c r="G18" s="21">
        <v>0.5</v>
      </c>
      <c r="H18" s="155">
        <f>COUNTIF(U19:U28,"&gt;"&amp;U18)+1+COUNTIF(U3:U17,"&gt;="&amp;U18)</f>
        <v>2</v>
      </c>
      <c r="I18" s="155">
        <f>COUNTIF(V19:V28,"&gt;"&amp;V18)+1+COUNTIF(V3:V17,"&gt;="&amp;V18)</f>
        <v>2</v>
      </c>
      <c r="J18" s="187">
        <f t="shared" si="4"/>
        <v>228.766753246753</v>
      </c>
      <c r="K18" s="188">
        <f t="shared" si="1"/>
        <v>82.4233155080212</v>
      </c>
      <c r="L18" s="189">
        <v>5000</v>
      </c>
      <c r="M18" s="190">
        <v>5</v>
      </c>
      <c r="N18" s="173">
        <v>0</v>
      </c>
      <c r="O18" s="174">
        <v>11.77</v>
      </c>
      <c r="P18" s="198">
        <v>0</v>
      </c>
      <c r="Q18" s="239">
        <v>0.25</v>
      </c>
      <c r="R18" s="189">
        <f>L18*K32+M18*L32+(G18+F32)*G32</f>
        <v>6125</v>
      </c>
      <c r="S18" s="240">
        <f>IF(G18&gt;M32,G18*G32-M32*G34,M32*G33)+L18*K32+M18*L32</f>
        <v>17000</v>
      </c>
      <c r="T18" s="241">
        <f>(N18*'倾向-优先级表'!J117+O18*'倾向-优先级表'!K117+Q18*'倾向-优先级表'!M117)*G18</f>
        <v>14011.9636363636</v>
      </c>
      <c r="U18" s="242">
        <f t="shared" si="2"/>
        <v>558825.11363636</v>
      </c>
      <c r="V18" s="243">
        <f>(K18-'倾向-优先级表'!D7)*S18</f>
        <v>503086.36363636</v>
      </c>
      <c r="W18" s="98">
        <f t="shared" si="3"/>
        <v>-842371.25</v>
      </c>
      <c r="X18">
        <f>'倾向-优先级表'!D6</f>
        <v>137.53</v>
      </c>
    </row>
    <row r="19" ht="15.6" spans="1:24">
      <c r="A19">
        <f>数据表!H21</f>
        <v>8</v>
      </c>
      <c r="B19" t="s">
        <v>246</v>
      </c>
      <c r="C19">
        <f>数据表!I21</f>
        <v>7</v>
      </c>
      <c r="D19" t="s">
        <v>246</v>
      </c>
      <c r="F19" s="13" t="s">
        <v>247</v>
      </c>
      <c r="G19" s="14">
        <v>1.5</v>
      </c>
      <c r="H19" s="154">
        <f>COUNTIF(U20:U28,"&gt;"&amp;U19)+1+COUNTIF(U3:U18,"&gt;="&amp;U19)</f>
        <v>9</v>
      </c>
      <c r="I19" s="154">
        <f>COUNTIF(V20:V28,"&gt;"&amp;V19)+1+COUNTIF(V3:V18,"&gt;="&amp;V19)</f>
        <v>21</v>
      </c>
      <c r="J19" s="191">
        <f t="shared" si="4"/>
        <v>79.443116883117</v>
      </c>
      <c r="K19" s="170">
        <f t="shared" si="1"/>
        <v>17.3781818181818</v>
      </c>
      <c r="L19" s="192">
        <v>1500</v>
      </c>
      <c r="M19" s="193">
        <v>0</v>
      </c>
      <c r="N19" s="194">
        <v>0.58</v>
      </c>
      <c r="O19" s="195">
        <v>0.15</v>
      </c>
      <c r="P19" s="196">
        <v>0</v>
      </c>
      <c r="Q19" s="244">
        <v>0.016</v>
      </c>
      <c r="R19" s="192">
        <f>L19*K32+M19*L32+(G19+F32)*G32</f>
        <v>2625</v>
      </c>
      <c r="S19" s="230">
        <f>IF(G19&gt;M32,G19*G32-M32*G34,M32*G33)+L19*K32+M19*L32</f>
        <v>12000</v>
      </c>
      <c r="T19" s="231">
        <f>(N19*'倾向-优先级表'!J117+O19*'倾向-优先级表'!K117+Q19*'倾向-优先级表'!M117)*G19</f>
        <v>2085.38181818182</v>
      </c>
      <c r="U19" s="232">
        <f t="shared" si="2"/>
        <v>-152478.068181818</v>
      </c>
      <c r="V19" s="233">
        <f>(K19-'倾向-优先级表'!D7)*S19</f>
        <v>-425421.818181818</v>
      </c>
      <c r="W19" s="98">
        <f t="shared" si="3"/>
        <v>-361016.25</v>
      </c>
      <c r="X19">
        <f>'倾向-优先级表'!D6</f>
        <v>137.53</v>
      </c>
    </row>
    <row r="20" ht="15.6" spans="1:24">
      <c r="A20">
        <f>数据表!H22</f>
        <v>14</v>
      </c>
      <c r="B20" t="s">
        <v>248</v>
      </c>
      <c r="C20">
        <f>数据表!I22</f>
        <v>22</v>
      </c>
      <c r="D20" t="s">
        <v>248</v>
      </c>
      <c r="F20" s="15" t="s">
        <v>247</v>
      </c>
      <c r="G20" s="16">
        <v>2.5</v>
      </c>
      <c r="H20" s="154">
        <f>COUNTIF(U21:U28,"&gt;"&amp;U20)+1+COUNTIF(U3:U19,"&gt;="&amp;U20)</f>
        <v>15</v>
      </c>
      <c r="I20" s="154">
        <f>COUNTIF(V21:V28,"&gt;"&amp;V20)+1+COUNTIF(V3:V19,"&gt;="&amp;V20)</f>
        <v>18</v>
      </c>
      <c r="J20" s="177">
        <f t="shared" si="4"/>
        <v>69.0446280991736</v>
      </c>
      <c r="K20" s="178">
        <f t="shared" si="1"/>
        <v>23.7340909090909</v>
      </c>
      <c r="L20" s="179">
        <v>3000</v>
      </c>
      <c r="M20" s="180">
        <v>0</v>
      </c>
      <c r="N20" s="184">
        <v>0.45</v>
      </c>
      <c r="O20" s="185">
        <v>0.1</v>
      </c>
      <c r="P20" s="197">
        <v>0</v>
      </c>
      <c r="Q20" s="234">
        <v>0.014</v>
      </c>
      <c r="R20" s="179">
        <f>L20*K32+M20*L32+(G20+F32)*G32</f>
        <v>4125</v>
      </c>
      <c r="S20" s="235">
        <f>IF(G20&gt;M32,G20*G32-M32*G34,M32*G33)+L20*K32+M20*L32</f>
        <v>12000</v>
      </c>
      <c r="T20" s="236">
        <f>(N20*'倾向-优先级表'!J117+O20*'倾向-优先级表'!K117+Q20*'倾向-优先级表'!M117)*G20</f>
        <v>2848.09090909091</v>
      </c>
      <c r="U20" s="237">
        <f t="shared" si="2"/>
        <v>-282502.159090909</v>
      </c>
      <c r="V20" s="238">
        <f>(K20-'倾向-优先级表'!D7)*S20</f>
        <v>-349150.909090909</v>
      </c>
      <c r="W20" s="98">
        <f t="shared" si="3"/>
        <v>-567311.25</v>
      </c>
      <c r="X20">
        <f>'倾向-优先级表'!D6</f>
        <v>137.53</v>
      </c>
    </row>
    <row r="21" ht="16.35" spans="1:24">
      <c r="A21">
        <f>数据表!H23</f>
        <v>12</v>
      </c>
      <c r="B21" t="s">
        <v>249</v>
      </c>
      <c r="C21">
        <f>数据表!I23</f>
        <v>20</v>
      </c>
      <c r="D21" t="s">
        <v>249</v>
      </c>
      <c r="F21" s="22" t="s">
        <v>247</v>
      </c>
      <c r="G21" s="23">
        <v>4</v>
      </c>
      <c r="H21" s="156">
        <f>COUNTIF(U22:U28,"&gt;"&amp;U21)+1+COUNTIF(U3:U20,"&gt;="&amp;U21)</f>
        <v>8</v>
      </c>
      <c r="I21" s="156">
        <f>COUNTIF(V22:V28,"&gt;"&amp;V21)+1+COUNTIF(V3:V20,"&gt;="&amp;V21)</f>
        <v>7</v>
      </c>
      <c r="J21" s="199">
        <f t="shared" si="4"/>
        <v>116.308877005348</v>
      </c>
      <c r="K21" s="188">
        <f t="shared" si="1"/>
        <v>61.7890909090909</v>
      </c>
      <c r="L21" s="189">
        <v>6000</v>
      </c>
      <c r="M21" s="190">
        <v>0</v>
      </c>
      <c r="N21" s="207">
        <v>0.52</v>
      </c>
      <c r="O21" s="208">
        <v>0.14</v>
      </c>
      <c r="P21" s="209">
        <v>0</v>
      </c>
      <c r="Q21" s="239">
        <v>0.026</v>
      </c>
      <c r="R21" s="189">
        <f>L21*K32+M21*L32+(G21+F32)*G32</f>
        <v>6375</v>
      </c>
      <c r="S21" s="240">
        <f>IF(G21&gt;M32,G21*G32-M32*G34,M32*G33)+L21*K32+M21*L32</f>
        <v>12000</v>
      </c>
      <c r="T21" s="241">
        <f>(N21*'倾向-优先级表'!J117+O21*'倾向-优先级表'!K117+Q21*'倾向-优先级表'!M117)*G21</f>
        <v>7414.69090909091</v>
      </c>
      <c r="U21" s="245">
        <f t="shared" si="2"/>
        <v>-135284.659090909</v>
      </c>
      <c r="V21" s="246">
        <f>(K21-'倾向-优先级表'!D7)*S21</f>
        <v>107509.090909091</v>
      </c>
      <c r="W21" s="98">
        <f t="shared" si="3"/>
        <v>-876753.75</v>
      </c>
      <c r="X21">
        <f>'倾向-优先级表'!D6</f>
        <v>137.53</v>
      </c>
    </row>
    <row r="22" ht="15.6" spans="1:24">
      <c r="A22">
        <f>数据表!H24</f>
        <v>13</v>
      </c>
      <c r="B22" t="s">
        <v>250</v>
      </c>
      <c r="C22">
        <f>数据表!I24</f>
        <v>8</v>
      </c>
      <c r="D22" t="s">
        <v>250</v>
      </c>
      <c r="F22" s="19" t="s">
        <v>251</v>
      </c>
      <c r="G22" s="6">
        <v>2</v>
      </c>
      <c r="H22" s="153">
        <f>COUNTIF(U23:U28,"&gt;"&amp;U22)+1+COUNTIF(U3:U21,"&gt;="&amp;U22)</f>
        <v>14</v>
      </c>
      <c r="I22" s="153">
        <f>COUNTIF(V23:V28,"&gt;"&amp;V22)+1+COUNTIF(V3:V21,"&gt;="&amp;V22)</f>
        <v>22</v>
      </c>
      <c r="J22" s="169">
        <f t="shared" si="4"/>
        <v>54.9236363636364</v>
      </c>
      <c r="K22" s="170">
        <f t="shared" si="1"/>
        <v>15.4472727272728</v>
      </c>
      <c r="L22" s="192">
        <v>0</v>
      </c>
      <c r="M22" s="193">
        <v>0</v>
      </c>
      <c r="N22" s="173">
        <v>0</v>
      </c>
      <c r="O22" s="174">
        <v>0</v>
      </c>
      <c r="P22" s="198">
        <v>0</v>
      </c>
      <c r="Q22" s="244">
        <v>0.018</v>
      </c>
      <c r="R22" s="192">
        <f>L22*K32+M22*L32+(G22+F32)*G32</f>
        <v>3375</v>
      </c>
      <c r="S22" s="230">
        <f>IF(G22&gt;M32,G22*G32-M32*G34,M32*G33)+L22*K32+M22*L32</f>
        <v>12000</v>
      </c>
      <c r="T22" s="231">
        <f>(N22*'倾向-优先级表'!J117+O22*'倾向-优先级表'!K117+Q22*'倾向-优先级表'!M117)*G22</f>
        <v>1853.67272727273</v>
      </c>
      <c r="U22" s="247">
        <f t="shared" si="2"/>
        <v>-278796.477272727</v>
      </c>
      <c r="V22" s="248">
        <f>(K22-'倾向-优先级表'!D7)*S22</f>
        <v>-448592.727272727</v>
      </c>
      <c r="W22" s="98">
        <f t="shared" si="3"/>
        <v>-464163.75</v>
      </c>
      <c r="X22">
        <f>'倾向-优先级表'!D6</f>
        <v>137.53</v>
      </c>
    </row>
    <row r="23" ht="16.35" spans="1:24">
      <c r="A23">
        <f>数据表!H25</f>
        <v>23</v>
      </c>
      <c r="B23" t="s">
        <v>252</v>
      </c>
      <c r="C23">
        <f>数据表!I25</f>
        <v>15</v>
      </c>
      <c r="D23" t="s">
        <v>252</v>
      </c>
      <c r="F23" s="24" t="s">
        <v>251</v>
      </c>
      <c r="G23" s="25">
        <v>2</v>
      </c>
      <c r="H23" s="155">
        <f>COUNTIF(U24:U28,"&gt;"&amp;U23)+1+COUNTIF(U3:U22,"&gt;="&amp;U23)</f>
        <v>12</v>
      </c>
      <c r="I23" s="155">
        <f>COUNTIF(V24:V28,"&gt;"&amp;V23)+1+COUNTIF(V3:V22,"&gt;="&amp;V23)</f>
        <v>20</v>
      </c>
      <c r="J23" s="187">
        <f t="shared" si="4"/>
        <v>64.0775757575757</v>
      </c>
      <c r="K23" s="188">
        <f t="shared" si="1"/>
        <v>18.0218181818182</v>
      </c>
      <c r="L23" s="189">
        <v>0</v>
      </c>
      <c r="M23" s="190">
        <v>0</v>
      </c>
      <c r="N23" s="181">
        <v>0</v>
      </c>
      <c r="O23" s="182">
        <v>0</v>
      </c>
      <c r="P23" s="206">
        <v>0</v>
      </c>
      <c r="Q23" s="239">
        <v>0.021</v>
      </c>
      <c r="R23" s="189">
        <f>L23*K32+M23*L32+(G23+F32)*G32</f>
        <v>3375</v>
      </c>
      <c r="S23" s="240">
        <f>IF(G23&gt;M32,G23*G32-M32*G34,M32*G33)+L23*K32+M23*L32</f>
        <v>12000</v>
      </c>
      <c r="T23" s="241">
        <f>(N23*'倾向-优先级表'!J117+O23*'倾向-优先级表'!K117+Q23*'倾向-优先级表'!M117)*G23</f>
        <v>2162.61818181818</v>
      </c>
      <c r="U23" s="242">
        <f t="shared" si="2"/>
        <v>-247901.931818182</v>
      </c>
      <c r="V23" s="243">
        <f>(K23-'倾向-优先级表'!D7)*S23</f>
        <v>-417698.181818182</v>
      </c>
      <c r="W23" s="98">
        <f t="shared" si="3"/>
        <v>-464163.75</v>
      </c>
      <c r="X23">
        <f>'倾向-优先级表'!D6</f>
        <v>137.53</v>
      </c>
    </row>
    <row r="24" ht="15.6" spans="1:24">
      <c r="A24">
        <f>数据表!H26</f>
        <v>24</v>
      </c>
      <c r="B24" t="s">
        <v>253</v>
      </c>
      <c r="C24">
        <f>数据表!I26</f>
        <v>10</v>
      </c>
      <c r="D24" t="s">
        <v>253</v>
      </c>
      <c r="F24" s="26" t="s">
        <v>254</v>
      </c>
      <c r="G24" s="27">
        <v>4</v>
      </c>
      <c r="H24" s="154">
        <f>COUNTIF(U25:U28,"&gt;"&amp;U24)+1+COUNTIF(U3:U23,"&gt;="&amp;U24)</f>
        <v>13</v>
      </c>
      <c r="I24" s="154">
        <f>COUNTIF(V25:V28,"&gt;"&amp;V24)+1+COUNTIF(V3:V23,"&gt;="&amp;V24)</f>
        <v>8</v>
      </c>
      <c r="J24" s="191">
        <f t="shared" si="4"/>
        <v>94.9048128342246</v>
      </c>
      <c r="K24" s="170">
        <f t="shared" si="1"/>
        <v>50.4181818181818</v>
      </c>
      <c r="L24" s="192">
        <v>0</v>
      </c>
      <c r="M24" s="193">
        <v>0</v>
      </c>
      <c r="N24" s="210">
        <v>0.33</v>
      </c>
      <c r="O24" s="211">
        <v>0.09</v>
      </c>
      <c r="P24" s="212">
        <v>0</v>
      </c>
      <c r="Q24" s="244">
        <v>0.023</v>
      </c>
      <c r="R24" s="192">
        <f>L24*K32+M24*L32+(G24+F32)*G32</f>
        <v>6375</v>
      </c>
      <c r="S24" s="230">
        <f>IF(G24&gt;M32,G24*G32-M32*G34,M32*G33)+L24*K32+M24*L32</f>
        <v>12000</v>
      </c>
      <c r="T24" s="231">
        <f>(N24*'倾向-优先级表'!J117+O24*'倾向-优先级表'!K117+Q24*'倾向-优先级表'!M117)*G24</f>
        <v>6050.18181818182</v>
      </c>
      <c r="U24" s="232">
        <f t="shared" si="2"/>
        <v>-271735.568181818</v>
      </c>
      <c r="V24" s="233">
        <f>(K24-'倾向-优先级表'!D7)*S24</f>
        <v>-28941.818181818</v>
      </c>
      <c r="W24" s="98">
        <f t="shared" si="3"/>
        <v>-876753.75</v>
      </c>
      <c r="X24">
        <f>'倾向-优先级表'!D6</f>
        <v>137.53</v>
      </c>
    </row>
    <row r="25" ht="15.6" spans="1:24">
      <c r="A25">
        <f>数据表!H27</f>
        <v>26</v>
      </c>
      <c r="B25" t="s">
        <v>255</v>
      </c>
      <c r="C25">
        <f>数据表!I27</f>
        <v>17</v>
      </c>
      <c r="D25" t="s">
        <v>255</v>
      </c>
      <c r="F25" s="15" t="s">
        <v>256</v>
      </c>
      <c r="G25" s="16">
        <v>6</v>
      </c>
      <c r="H25" s="154">
        <f>COUNTIF(U26:U28,"&gt;"&amp;U25)+1+COUNTIF(U3:U24,"&gt;="&amp;U25)</f>
        <v>23</v>
      </c>
      <c r="I25" s="154">
        <f>COUNTIF(V26:V28,"&gt;"&amp;V25)+1+COUNTIF(V3:V24,"&gt;="&amp;V25)</f>
        <v>15</v>
      </c>
      <c r="J25" s="177">
        <f t="shared" si="4"/>
        <v>39.5450181818181</v>
      </c>
      <c r="K25" s="178">
        <f t="shared" si="1"/>
        <v>30.8945454545454</v>
      </c>
      <c r="L25" s="179">
        <v>0</v>
      </c>
      <c r="M25" s="180">
        <v>0</v>
      </c>
      <c r="N25" s="173">
        <v>0</v>
      </c>
      <c r="O25" s="174">
        <v>0</v>
      </c>
      <c r="P25" s="198">
        <v>0</v>
      </c>
      <c r="Q25" s="234">
        <v>0.012</v>
      </c>
      <c r="R25" s="179">
        <f>L25*K32+M25*L32+(G25+F32)*G32</f>
        <v>9375</v>
      </c>
      <c r="S25" s="235">
        <f>IF(G25&gt;M32,G25*G32-M32*G34,M32*G33)+L25*K32+M25*L32</f>
        <v>12000</v>
      </c>
      <c r="T25" s="236">
        <f>(N25*'倾向-优先级表'!J117+O25*'倾向-优先级表'!K117+Q25*'倾向-优先级表'!M117)*G25</f>
        <v>3707.34545454545</v>
      </c>
      <c r="U25" s="237">
        <f t="shared" si="2"/>
        <v>-918609.204545455</v>
      </c>
      <c r="V25" s="238">
        <f>(K25-'倾向-优先级表'!D7)*S25</f>
        <v>-263225.454545455</v>
      </c>
      <c r="W25" s="98">
        <f t="shared" si="3"/>
        <v>-1289343.75</v>
      </c>
      <c r="X25">
        <f>'倾向-优先级表'!D6</f>
        <v>137.53</v>
      </c>
    </row>
    <row r="26" ht="15.6" spans="1:24">
      <c r="A26">
        <f>数据表!H28</f>
        <v>18</v>
      </c>
      <c r="B26" t="s">
        <v>257</v>
      </c>
      <c r="C26">
        <f>数据表!I28</f>
        <v>23</v>
      </c>
      <c r="D26" t="s">
        <v>257</v>
      </c>
      <c r="F26" s="7" t="s">
        <v>256</v>
      </c>
      <c r="G26" s="8">
        <v>8</v>
      </c>
      <c r="H26" s="154">
        <f>COUNTIF(U27:U28,"&gt;"&amp;U26)+1+COUNTIF(U3:U25,"&gt;="&amp;U26)</f>
        <v>24</v>
      </c>
      <c r="I26" s="154">
        <f>COUNTIF(V27:V28,"&gt;"&amp;V26)+1+COUNTIF(V3:V25,"&gt;="&amp;V26)</f>
        <v>10</v>
      </c>
      <c r="J26" s="177">
        <f t="shared" si="4"/>
        <v>40.3605509641873</v>
      </c>
      <c r="K26" s="188">
        <f t="shared" si="1"/>
        <v>41.6218181818182</v>
      </c>
      <c r="L26" s="179">
        <v>0</v>
      </c>
      <c r="M26" s="180">
        <v>0</v>
      </c>
      <c r="N26" s="184">
        <v>0.07</v>
      </c>
      <c r="O26" s="185">
        <v>0.01</v>
      </c>
      <c r="P26" s="197">
        <v>0</v>
      </c>
      <c r="Q26" s="234">
        <v>0.011</v>
      </c>
      <c r="R26" s="179">
        <f>L26*K32+M26*L32+(G26+F32)*G32</f>
        <v>12375</v>
      </c>
      <c r="S26" s="235">
        <f>IF(G26&gt;M32,G26*G32-M32*G34,M32*G33)+L26*K32+M26*L32</f>
        <v>12000</v>
      </c>
      <c r="T26" s="236">
        <f>(N26*'倾向-优先级表'!J117+O26*'倾向-优先级表'!K117+Q26*'倾向-优先级表'!M117)*G26</f>
        <v>4994.61818181818</v>
      </c>
      <c r="U26" s="237">
        <f t="shared" si="2"/>
        <v>-1202471.93181818</v>
      </c>
      <c r="V26" s="238">
        <f>(K26-'倾向-优先级表'!D7)*S26</f>
        <v>-134498.181818182</v>
      </c>
      <c r="W26" s="98">
        <f t="shared" si="3"/>
        <v>-1701933.75</v>
      </c>
      <c r="X26">
        <f>'倾向-优先级表'!D6</f>
        <v>137.53</v>
      </c>
    </row>
    <row r="27" ht="16.35" spans="6:24">
      <c r="F27" s="17" t="s">
        <v>256</v>
      </c>
      <c r="G27" s="18">
        <v>12</v>
      </c>
      <c r="H27" s="156">
        <f>COUNTIF(U28:U28,"&gt;"&amp;U27)+1+COUNTIF(U3:U26,"&gt;="&amp;U27)</f>
        <v>26</v>
      </c>
      <c r="I27" s="156">
        <f>COUNTIF(V28:V28,"&gt;"&amp;V27)+1+COUNTIF(V3:V26,"&gt;="&amp;V27)</f>
        <v>17</v>
      </c>
      <c r="J27" s="199">
        <f t="shared" si="4"/>
        <v>34.8877179962894</v>
      </c>
      <c r="K27" s="213">
        <f t="shared" si="1"/>
        <v>35.6145454545454</v>
      </c>
      <c r="L27" s="189">
        <v>0</v>
      </c>
      <c r="M27" s="190">
        <v>0</v>
      </c>
      <c r="N27" s="207">
        <v>0.07</v>
      </c>
      <c r="O27" s="208">
        <v>0.02</v>
      </c>
      <c r="P27" s="209">
        <v>0</v>
      </c>
      <c r="Q27" s="239">
        <v>0.009</v>
      </c>
      <c r="R27" s="189">
        <f>L27*K32+M262*L32+(G27+F32)*G32</f>
        <v>18375</v>
      </c>
      <c r="S27" s="240">
        <f>IF(G27&gt;M32,G27*G32-M32*G34,M32*G33)+L27*K32+M27*L32</f>
        <v>18000</v>
      </c>
      <c r="T27" s="241">
        <f>(N27*'倾向-优先级表'!J117+O27*'倾向-优先级表'!K117+Q27*'倾向-优先级表'!M117)*G27</f>
        <v>6410.61818181818</v>
      </c>
      <c r="U27" s="245">
        <f t="shared" si="2"/>
        <v>-1886051.93181818</v>
      </c>
      <c r="V27" s="246">
        <f>(K27-'倾向-优先级表'!D7)*S27</f>
        <v>-309878.181818182</v>
      </c>
      <c r="W27" s="98">
        <f t="shared" si="3"/>
        <v>-2527113.75</v>
      </c>
      <c r="X27">
        <f>'倾向-优先级表'!D6</f>
        <v>137.53</v>
      </c>
    </row>
    <row r="28" ht="16.35" spans="6:24">
      <c r="F28" s="28" t="s">
        <v>258</v>
      </c>
      <c r="G28" s="29">
        <v>3</v>
      </c>
      <c r="H28" s="157">
        <f>1+COUNTIF(U3:U27,"&gt;="&amp;U28)</f>
        <v>18</v>
      </c>
      <c r="I28" s="157">
        <f>1+COUNTIF(V3:V27,"&gt;="&amp;V28)</f>
        <v>23</v>
      </c>
      <c r="J28" s="214">
        <f t="shared" si="4"/>
        <v>34.8553846153846</v>
      </c>
      <c r="K28" s="215">
        <f t="shared" si="1"/>
        <v>14.16</v>
      </c>
      <c r="L28" s="216">
        <v>0</v>
      </c>
      <c r="M28" s="217">
        <v>0</v>
      </c>
      <c r="N28" s="207">
        <v>0</v>
      </c>
      <c r="O28" s="208">
        <v>0</v>
      </c>
      <c r="P28" s="209"/>
      <c r="Q28" s="250">
        <v>0.011</v>
      </c>
      <c r="R28" s="216">
        <f>L28*K32+M28*L32+(G28+F32)*G32</f>
        <v>4875</v>
      </c>
      <c r="S28" s="251">
        <f>IF(G28&gt;M32,G28*G32-M32*G34,M32*G33)+L28*K32+M28*L32</f>
        <v>12000</v>
      </c>
      <c r="T28" s="252">
        <f>(N28*'倾向-优先级表'!J117+O28*'倾向-优先级表'!K117+Q28*'倾向-优先级表'!M117)*G28</f>
        <v>1699.2</v>
      </c>
      <c r="U28" s="253">
        <f t="shared" si="2"/>
        <v>-500538.75</v>
      </c>
      <c r="V28" s="254">
        <f>(K28-'倾向-优先级表'!D7)*S28</f>
        <v>-464040</v>
      </c>
      <c r="W28" s="101">
        <f t="shared" si="3"/>
        <v>-670458.75</v>
      </c>
      <c r="X28">
        <f>'倾向-优先级表'!D6</f>
        <v>137.53</v>
      </c>
    </row>
    <row r="30" spans="17:20">
      <c r="Q30">
        <f>H3</f>
        <v>16</v>
      </c>
      <c r="R30">
        <f>IF(U3&gt;0,999,0)</f>
        <v>0</v>
      </c>
      <c r="S30">
        <f>I3</f>
        <v>24</v>
      </c>
      <c r="T30">
        <f>IF(V3&gt;0,999,0)</f>
        <v>0</v>
      </c>
    </row>
    <row r="31" spans="17:20">
      <c r="Q31">
        <f t="shared" ref="Q31:Q55" si="5">H4</f>
        <v>21</v>
      </c>
      <c r="R31">
        <f t="shared" ref="R31:R55" si="6">IF(U4&gt;0,999,0)</f>
        <v>0</v>
      </c>
      <c r="S31">
        <f t="shared" ref="S31:S55" si="7">I4</f>
        <v>25</v>
      </c>
      <c r="T31">
        <f t="shared" ref="T31:T55" si="8">IF(V4&gt;0,999,0)</f>
        <v>0</v>
      </c>
    </row>
    <row r="32" spans="6:20">
      <c r="F32">
        <f>'倾向-优先级表'!D12/60</f>
        <v>0.25</v>
      </c>
      <c r="G32">
        <f>'倾向-优先级表'!F115</f>
        <v>1500</v>
      </c>
      <c r="H32">
        <f>'倾向-优先级表'!J117</f>
        <v>643.636363636364</v>
      </c>
      <c r="I32">
        <f>'倾向-优先级表'!K117</f>
        <v>1287.27272727273</v>
      </c>
      <c r="J32">
        <f>'倾向-优先级表'!M117</f>
        <v>51490.9090909091</v>
      </c>
      <c r="K32">
        <f>'倾向-优先级表'!I117</f>
        <v>0</v>
      </c>
      <c r="L32">
        <f>'倾向-优先级表'!H117</f>
        <v>1000</v>
      </c>
      <c r="M32">
        <f>24-'倾向-优先级表'!I13</f>
        <v>8</v>
      </c>
      <c r="Q32">
        <f t="shared" si="5"/>
        <v>25</v>
      </c>
      <c r="R32">
        <f t="shared" si="6"/>
        <v>0</v>
      </c>
      <c r="S32">
        <f t="shared" si="7"/>
        <v>26</v>
      </c>
      <c r="T32">
        <f t="shared" si="8"/>
        <v>0</v>
      </c>
    </row>
    <row r="33" spans="7:20">
      <c r="G33">
        <f>'倾向-优先级表'!G115</f>
        <v>1500</v>
      </c>
      <c r="Q33">
        <f t="shared" si="5"/>
        <v>7</v>
      </c>
      <c r="R33">
        <f t="shared" si="6"/>
        <v>0</v>
      </c>
      <c r="S33">
        <f t="shared" si="7"/>
        <v>13</v>
      </c>
      <c r="T33">
        <f t="shared" si="8"/>
        <v>0</v>
      </c>
    </row>
    <row r="34" spans="7:20">
      <c r="G34">
        <f>G32-G33</f>
        <v>0</v>
      </c>
      <c r="Q34">
        <f t="shared" si="5"/>
        <v>6</v>
      </c>
      <c r="R34">
        <f t="shared" si="6"/>
        <v>999</v>
      </c>
      <c r="S34">
        <f t="shared" si="7"/>
        <v>19</v>
      </c>
      <c r="T34">
        <f t="shared" si="8"/>
        <v>0</v>
      </c>
    </row>
    <row r="35" spans="17:20">
      <c r="Q35">
        <f t="shared" si="5"/>
        <v>5</v>
      </c>
      <c r="R35">
        <f t="shared" si="6"/>
        <v>999</v>
      </c>
      <c r="S35">
        <f t="shared" si="7"/>
        <v>12</v>
      </c>
      <c r="T35">
        <f t="shared" si="8"/>
        <v>0</v>
      </c>
    </row>
    <row r="36" spans="17:20">
      <c r="Q36">
        <f t="shared" si="5"/>
        <v>4</v>
      </c>
      <c r="R36">
        <f t="shared" si="6"/>
        <v>999</v>
      </c>
      <c r="S36">
        <f t="shared" si="7"/>
        <v>3</v>
      </c>
      <c r="T36">
        <f t="shared" si="8"/>
        <v>999</v>
      </c>
    </row>
    <row r="37" spans="6:20">
      <c r="F37">
        <f>'倾向-优先级表'!Q32</f>
        <v>0.383357370947197</v>
      </c>
      <c r="J37" t="s">
        <v>259</v>
      </c>
      <c r="K37">
        <f ca="1">(当前时间项目推荐!B11-ROUNDDOWN(当前时间项目推荐!B11,0))*24</f>
        <v>15.2555555555737</v>
      </c>
      <c r="M37" t="s">
        <v>260</v>
      </c>
      <c r="N37">
        <f>'倾向-优先级表'!I13</f>
        <v>16</v>
      </c>
      <c r="Q37">
        <f t="shared" si="5"/>
        <v>1</v>
      </c>
      <c r="R37">
        <f t="shared" si="6"/>
        <v>999</v>
      </c>
      <c r="S37">
        <f t="shared" si="7"/>
        <v>1</v>
      </c>
      <c r="T37">
        <f t="shared" si="8"/>
        <v>999</v>
      </c>
    </row>
    <row r="38" spans="3:20">
      <c r="C38">
        <f>IF(F37&lt;0.07,1,0)</f>
        <v>0</v>
      </c>
      <c r="D38" t="s">
        <v>261</v>
      </c>
      <c r="J38" t="s">
        <v>262</v>
      </c>
      <c r="K38">
        <f>(当前时间项目推荐!C16-ROUNDDOWN(当前时间项目推荐!C16,0))*24</f>
        <v>23.8333333333333</v>
      </c>
      <c r="N38">
        <f ca="1">IF((K38-K37)&lt;0,K38+24,K38)-K37</f>
        <v>8.57777777775964</v>
      </c>
      <c r="Q38">
        <f t="shared" si="5"/>
        <v>11</v>
      </c>
      <c r="R38">
        <f t="shared" si="6"/>
        <v>0</v>
      </c>
      <c r="S38">
        <f t="shared" si="7"/>
        <v>16</v>
      </c>
      <c r="T38">
        <f t="shared" si="8"/>
        <v>0</v>
      </c>
    </row>
    <row r="39" spans="3:20">
      <c r="C39">
        <f>IF((F37&gt;=0.07)*(F37&lt;0.15),1,0)</f>
        <v>0</v>
      </c>
      <c r="D39" t="s">
        <v>263</v>
      </c>
      <c r="J39" t="s">
        <v>264</v>
      </c>
      <c r="K39">
        <f ca="1">IF(N38&gt;N37,0,N38)</f>
        <v>8.57777777775964</v>
      </c>
      <c r="Q39">
        <f t="shared" si="5"/>
        <v>19</v>
      </c>
      <c r="R39">
        <f t="shared" si="6"/>
        <v>0</v>
      </c>
      <c r="S39">
        <f t="shared" si="7"/>
        <v>11</v>
      </c>
      <c r="T39">
        <f t="shared" si="8"/>
        <v>0</v>
      </c>
    </row>
    <row r="40" spans="3:20">
      <c r="C40">
        <f>IF((F37&gt;=0.15)*(F37&lt;0.24),1,0)</f>
        <v>0</v>
      </c>
      <c r="D40" t="s">
        <v>265</v>
      </c>
      <c r="Q40">
        <f t="shared" si="5"/>
        <v>22</v>
      </c>
      <c r="R40">
        <f t="shared" si="6"/>
        <v>0</v>
      </c>
      <c r="S40">
        <f t="shared" si="7"/>
        <v>6</v>
      </c>
      <c r="T40">
        <f t="shared" si="8"/>
        <v>999</v>
      </c>
    </row>
    <row r="41" spans="3:20">
      <c r="C41">
        <f>IF((F37&gt;=0.24)*(F37&lt;0.33),1,0)</f>
        <v>0</v>
      </c>
      <c r="D41" t="s">
        <v>266</v>
      </c>
      <c r="Q41">
        <f t="shared" si="5"/>
        <v>3</v>
      </c>
      <c r="R41">
        <f t="shared" si="6"/>
        <v>999</v>
      </c>
      <c r="S41">
        <f t="shared" si="7"/>
        <v>5</v>
      </c>
      <c r="T41">
        <f t="shared" si="8"/>
        <v>999</v>
      </c>
    </row>
    <row r="42" spans="3:20">
      <c r="C42">
        <f>IF((F37&gt;=0.33)*(F37&lt;0.38),1,0)</f>
        <v>0</v>
      </c>
      <c r="D42" t="s">
        <v>267</v>
      </c>
      <c r="Q42">
        <f t="shared" si="5"/>
        <v>10</v>
      </c>
      <c r="R42">
        <f t="shared" si="6"/>
        <v>0</v>
      </c>
      <c r="S42">
        <f t="shared" si="7"/>
        <v>14</v>
      </c>
      <c r="T42">
        <f t="shared" si="8"/>
        <v>0</v>
      </c>
    </row>
    <row r="43" spans="3:20">
      <c r="C43">
        <f>IF((F37&gt;=0.38)*(F37&lt;0.44),1,0)</f>
        <v>1</v>
      </c>
      <c r="D43" t="s">
        <v>268</v>
      </c>
      <c r="M43" t="s">
        <v>269</v>
      </c>
      <c r="N43" t="s">
        <v>270</v>
      </c>
      <c r="Q43">
        <f t="shared" si="5"/>
        <v>17</v>
      </c>
      <c r="R43">
        <f t="shared" si="6"/>
        <v>0</v>
      </c>
      <c r="S43">
        <f t="shared" si="7"/>
        <v>9</v>
      </c>
      <c r="T43">
        <f t="shared" si="8"/>
        <v>0</v>
      </c>
    </row>
    <row r="44" spans="3:20">
      <c r="C44">
        <f>IF((F37&gt;=0.44),1,0)</f>
        <v>0</v>
      </c>
      <c r="D44" t="s">
        <v>271</v>
      </c>
      <c r="L44" t="s">
        <v>272</v>
      </c>
      <c r="M44">
        <f>白天模拟!T60+夜晚模拟!T60</f>
        <v>2.40989157158313</v>
      </c>
      <c r="N44">
        <f>白天模拟!S60+夜晚模拟!S60</f>
        <v>6.00963642142808</v>
      </c>
      <c r="Q44">
        <f t="shared" si="5"/>
        <v>20</v>
      </c>
      <c r="R44">
        <f t="shared" si="6"/>
        <v>0</v>
      </c>
      <c r="S44">
        <f t="shared" si="7"/>
        <v>4</v>
      </c>
      <c r="T44">
        <f t="shared" si="8"/>
        <v>999</v>
      </c>
    </row>
    <row r="45" spans="13:20">
      <c r="M45">
        <f>M44*5/N44</f>
        <v>2.00502276892356</v>
      </c>
      <c r="Q45">
        <f t="shared" si="5"/>
        <v>2</v>
      </c>
      <c r="R45">
        <f t="shared" si="6"/>
        <v>999</v>
      </c>
      <c r="S45">
        <f t="shared" si="7"/>
        <v>2</v>
      </c>
      <c r="T45">
        <f t="shared" si="8"/>
        <v>999</v>
      </c>
    </row>
    <row r="46" spans="2:20">
      <c r="B46" s="158">
        <v>44385.5833333333</v>
      </c>
      <c r="L46" t="s">
        <v>273</v>
      </c>
      <c r="M46">
        <f>1/M45</f>
        <v>0.49874745339519</v>
      </c>
      <c r="Q46">
        <f t="shared" si="5"/>
        <v>9</v>
      </c>
      <c r="R46">
        <f t="shared" si="6"/>
        <v>0</v>
      </c>
      <c r="S46">
        <f t="shared" si="7"/>
        <v>21</v>
      </c>
      <c r="T46">
        <f t="shared" si="8"/>
        <v>0</v>
      </c>
    </row>
    <row r="47" spans="2:20">
      <c r="B47" s="158">
        <v>44750.5833333333</v>
      </c>
      <c r="Q47">
        <f t="shared" si="5"/>
        <v>15</v>
      </c>
      <c r="R47">
        <f t="shared" si="6"/>
        <v>0</v>
      </c>
      <c r="S47">
        <f t="shared" si="7"/>
        <v>18</v>
      </c>
      <c r="T47">
        <f t="shared" si="8"/>
        <v>0</v>
      </c>
    </row>
    <row r="48" spans="2:20">
      <c r="B48" s="158">
        <f ca="1">NOW()</f>
        <v>44696.6356481481</v>
      </c>
      <c r="Q48">
        <f t="shared" si="5"/>
        <v>8</v>
      </c>
      <c r="R48">
        <f t="shared" si="6"/>
        <v>0</v>
      </c>
      <c r="S48">
        <f t="shared" si="7"/>
        <v>7</v>
      </c>
      <c r="T48">
        <f t="shared" si="8"/>
        <v>999</v>
      </c>
    </row>
    <row r="49" spans="2:20">
      <c r="B49">
        <f ca="1">B47-B48</f>
        <v>53.9476851851505</v>
      </c>
      <c r="Q49">
        <f t="shared" si="5"/>
        <v>14</v>
      </c>
      <c r="R49">
        <f t="shared" si="6"/>
        <v>0</v>
      </c>
      <c r="S49">
        <f t="shared" si="7"/>
        <v>22</v>
      </c>
      <c r="T49">
        <f t="shared" si="8"/>
        <v>0</v>
      </c>
    </row>
    <row r="50" spans="17:20">
      <c r="Q50">
        <f t="shared" si="5"/>
        <v>12</v>
      </c>
      <c r="R50">
        <f t="shared" si="6"/>
        <v>0</v>
      </c>
      <c r="S50">
        <f t="shared" si="7"/>
        <v>20</v>
      </c>
      <c r="T50">
        <f t="shared" si="8"/>
        <v>0</v>
      </c>
    </row>
    <row r="51" spans="10:20">
      <c r="J51">
        <f>21*6</f>
        <v>126</v>
      </c>
      <c r="Q51">
        <f t="shared" si="5"/>
        <v>13</v>
      </c>
      <c r="R51">
        <f t="shared" si="6"/>
        <v>0</v>
      </c>
      <c r="S51">
        <f t="shared" si="7"/>
        <v>8</v>
      </c>
      <c r="T51">
        <f t="shared" si="8"/>
        <v>0</v>
      </c>
    </row>
    <row r="52" spans="3:20">
      <c r="C52" t="s">
        <v>274</v>
      </c>
      <c r="D52">
        <f ca="1">当前时间项目推荐!B11-B53</f>
        <v>311.05231481485</v>
      </c>
      <c r="Q52">
        <f t="shared" si="5"/>
        <v>23</v>
      </c>
      <c r="R52">
        <f t="shared" si="6"/>
        <v>0</v>
      </c>
      <c r="S52">
        <f t="shared" si="7"/>
        <v>15</v>
      </c>
      <c r="T52">
        <f t="shared" si="8"/>
        <v>0</v>
      </c>
    </row>
    <row r="53" spans="2:20">
      <c r="B53" s="158">
        <v>44385.5833333333</v>
      </c>
      <c r="Q53">
        <f t="shared" si="5"/>
        <v>24</v>
      </c>
      <c r="R53">
        <f t="shared" si="6"/>
        <v>0</v>
      </c>
      <c r="S53">
        <f t="shared" si="7"/>
        <v>10</v>
      </c>
      <c r="T53">
        <f t="shared" si="8"/>
        <v>0</v>
      </c>
    </row>
    <row r="54" spans="2:20">
      <c r="B54" s="159"/>
      <c r="D54">
        <f>8/('倾向-优先级表'!D29/('倾向-优先级表'!D30-1))</f>
        <v>3.91226801788798</v>
      </c>
      <c r="Q54">
        <f t="shared" si="5"/>
        <v>26</v>
      </c>
      <c r="R54">
        <f t="shared" si="6"/>
        <v>0</v>
      </c>
      <c r="S54">
        <f t="shared" si="7"/>
        <v>17</v>
      </c>
      <c r="T54">
        <f t="shared" si="8"/>
        <v>0</v>
      </c>
    </row>
    <row r="55" spans="2:20">
      <c r="B55" s="159"/>
      <c r="D55">
        <f ca="1">D52/7*7</f>
        <v>311.05231481485</v>
      </c>
      <c r="Q55">
        <f t="shared" si="5"/>
        <v>18</v>
      </c>
      <c r="R55">
        <f t="shared" si="6"/>
        <v>0</v>
      </c>
      <c r="S55">
        <f t="shared" si="7"/>
        <v>23</v>
      </c>
      <c r="T55">
        <f t="shared" si="8"/>
        <v>0</v>
      </c>
    </row>
    <row r="56" spans="2:4">
      <c r="B56" s="159"/>
      <c r="D56">
        <f ca="1">D55/D54</f>
        <v>79.5069032573003</v>
      </c>
    </row>
    <row r="58" spans="18:27">
      <c r="R58" t="s">
        <v>275</v>
      </c>
      <c r="S58" t="s">
        <v>276</v>
      </c>
      <c r="T58" t="s">
        <v>277</v>
      </c>
      <c r="U58" t="s">
        <v>278</v>
      </c>
      <c r="W58" t="s">
        <v>279</v>
      </c>
      <c r="Y58" t="s">
        <v>277</v>
      </c>
      <c r="AA58" t="s">
        <v>186</v>
      </c>
    </row>
    <row r="59" spans="12:28">
      <c r="L59" t="s">
        <v>187</v>
      </c>
      <c r="M59">
        <f>'倾向-优先级表'!H29/'倾向-优先级表'!D30</f>
        <v>0.0791750522267258</v>
      </c>
      <c r="R59">
        <f>Q3*G3</f>
        <v>0</v>
      </c>
      <c r="S59">
        <f>1-R59</f>
        <v>1</v>
      </c>
      <c r="T59">
        <f>R59*S59</f>
        <v>0</v>
      </c>
      <c r="U59">
        <f>(白天模拟!I33*V59+夜晚模拟!I33)/(V59*100)</f>
        <v>8.06788425959154e-5</v>
      </c>
      <c r="V59">
        <f>白天模拟!O60</f>
        <v>7.82453603577596</v>
      </c>
      <c r="W59">
        <f>U85</f>
        <v>0.0112780154518099</v>
      </c>
      <c r="X59">
        <f>U59/W59</f>
        <v>0.0071536382389836</v>
      </c>
      <c r="Y59">
        <f>X59*(1-X59)</f>
        <v>0.00710246369892935</v>
      </c>
      <c r="Z59">
        <f>Y59+T59</f>
        <v>0.00710246369892935</v>
      </c>
      <c r="AA59">
        <f ca="1">M60</f>
        <v>2665.38545783787</v>
      </c>
      <c r="AB59">
        <f ca="1">AA59*X59*Z59</f>
        <v>0.135424119511457</v>
      </c>
    </row>
    <row r="60" spans="4:28">
      <c r="D60">
        <v>0</v>
      </c>
      <c r="L60" t="s">
        <v>186</v>
      </c>
      <c r="M60">
        <f ca="1">D52*'倾向-优先级表'!D30-D56</f>
        <v>2665.38545783787</v>
      </c>
      <c r="R60">
        <f t="shared" ref="R60:R84" si="9">Q4*G4</f>
        <v>0</v>
      </c>
      <c r="S60">
        <f t="shared" ref="S60:S84" si="10">1-R60</f>
        <v>1</v>
      </c>
      <c r="T60">
        <f t="shared" ref="T60:T84" si="11">R60*S60</f>
        <v>0</v>
      </c>
      <c r="U60">
        <f>(白天模拟!I34*V60+夜晚模拟!I34)/(V60*100)</f>
        <v>8.25526066339713e-6</v>
      </c>
      <c r="V60">
        <f>V59</f>
        <v>7.82453603577596</v>
      </c>
      <c r="W60">
        <f>W59</f>
        <v>0.0112780154518099</v>
      </c>
      <c r="X60">
        <f t="shared" ref="X60:X84" si="12">U60/W60</f>
        <v>0.000731978130254495</v>
      </c>
      <c r="Y60">
        <f t="shared" ref="Y60:Y84" si="13">X60*(1-X60)</f>
        <v>0.000731442338271324</v>
      </c>
      <c r="Z60">
        <f t="shared" ref="Z60:Z84" si="14">Y60+T60</f>
        <v>0.000731442338271324</v>
      </c>
      <c r="AA60">
        <f ca="1">AA59</f>
        <v>2665.38545783787</v>
      </c>
      <c r="AB60">
        <f ca="1" t="shared" ref="AB60:AB84" si="15">AA60*X60*Z60</f>
        <v>0.00142704682814036</v>
      </c>
    </row>
    <row r="61" spans="2:28">
      <c r="B61">
        <v>1</v>
      </c>
      <c r="C61">
        <f>B61/100</f>
        <v>0.01</v>
      </c>
      <c r="D61">
        <f>(1/(2*PI())^0.5)*EXP(-((3-3*C61)^2))+D60</f>
        <v>5.88900428603413e-5</v>
      </c>
      <c r="E61">
        <f>D61/23.5697038852067</f>
        <v>2.49854826972617e-6</v>
      </c>
      <c r="G61">
        <f ca="1">N66-M66</f>
        <v>130.967585175709</v>
      </c>
      <c r="L61" t="s">
        <v>280</v>
      </c>
      <c r="M61">
        <f ca="1">AB85</f>
        <v>476.45856574324</v>
      </c>
      <c r="R61">
        <f t="shared" si="9"/>
        <v>0</v>
      </c>
      <c r="S61">
        <f t="shared" si="10"/>
        <v>1</v>
      </c>
      <c r="T61">
        <f t="shared" si="11"/>
        <v>0</v>
      </c>
      <c r="U61">
        <f>(白天模拟!I35*V61+夜晚模拟!I35)/(V61*100)</f>
        <v>7.8922701757356e-8</v>
      </c>
      <c r="V61">
        <f t="shared" ref="V61:V84" si="16">V60</f>
        <v>7.82453603577596</v>
      </c>
      <c r="W61">
        <f t="shared" ref="W61:W84" si="17">W60</f>
        <v>0.0112780154518099</v>
      </c>
      <c r="X61">
        <f t="shared" si="12"/>
        <v>6.997924598932e-6</v>
      </c>
      <c r="Y61">
        <f t="shared" si="13"/>
        <v>6.99787562798331e-6</v>
      </c>
      <c r="Z61">
        <f t="shared" si="14"/>
        <v>6.99787562798331e-6</v>
      </c>
      <c r="AA61">
        <f ca="1" t="shared" ref="AA61:AA84" si="18">AA60</f>
        <v>2665.38545783787</v>
      </c>
      <c r="AB61">
        <f ca="1" t="shared" si="15"/>
        <v>1.30525541086794e-7</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189</v>
      </c>
      <c r="M62">
        <f ca="1">M59*M60</f>
        <v>211.032032828668</v>
      </c>
      <c r="R62">
        <f t="shared" si="9"/>
        <v>0</v>
      </c>
      <c r="S62">
        <f t="shared" si="10"/>
        <v>1</v>
      </c>
      <c r="T62">
        <f t="shared" si="11"/>
        <v>0</v>
      </c>
      <c r="U62">
        <f>(白天模拟!I36*V62+夜晚模拟!I36)/(V62*100)</f>
        <v>3.2466909141032e-5</v>
      </c>
      <c r="V62">
        <f t="shared" si="16"/>
        <v>7.82453603577596</v>
      </c>
      <c r="W62">
        <f t="shared" si="17"/>
        <v>0.0112780154518099</v>
      </c>
      <c r="X62">
        <f t="shared" si="12"/>
        <v>0.00287877856523256</v>
      </c>
      <c r="Y62">
        <f t="shared" si="13"/>
        <v>0.00287049119920492</v>
      </c>
      <c r="Z62">
        <f t="shared" si="14"/>
        <v>0.00287049119920492</v>
      </c>
      <c r="AA62">
        <f ca="1" t="shared" si="18"/>
        <v>2665.38545783787</v>
      </c>
      <c r="AB62">
        <f ca="1" t="shared" si="15"/>
        <v>0.0220254354824664</v>
      </c>
    </row>
    <row r="63" spans="2:28">
      <c r="B63">
        <v>3</v>
      </c>
      <c r="C63">
        <f t="shared" si="19"/>
        <v>0.03</v>
      </c>
      <c r="D63">
        <f t="shared" si="20"/>
        <v>0.00021300738986455</v>
      </c>
      <c r="E63">
        <f t="shared" si="21"/>
        <v>9.03733839432076e-6</v>
      </c>
      <c r="G63" t="e">
        <f ca="1">G62/G61</f>
        <v>#REF!</v>
      </c>
      <c r="L63" t="s">
        <v>190</v>
      </c>
      <c r="M63">
        <f ca="1">M61^0.5</f>
        <v>21.8279308626182</v>
      </c>
      <c r="R63">
        <f t="shared" si="9"/>
        <v>0.052</v>
      </c>
      <c r="S63">
        <f t="shared" si="10"/>
        <v>0.948</v>
      </c>
      <c r="T63">
        <f t="shared" si="11"/>
        <v>0.049296</v>
      </c>
      <c r="U63">
        <f>(白天模拟!I37*V63+夜晚模拟!I37)/(V63*100)</f>
        <v>0.00245691641431273</v>
      </c>
      <c r="V63">
        <f t="shared" si="16"/>
        <v>7.82453603577596</v>
      </c>
      <c r="W63">
        <f t="shared" si="17"/>
        <v>0.0112780154518099</v>
      </c>
      <c r="X63">
        <f t="shared" si="12"/>
        <v>0.217850066335779</v>
      </c>
      <c r="Y63">
        <f t="shared" si="13"/>
        <v>0.170391414933276</v>
      </c>
      <c r="Z63">
        <f t="shared" si="14"/>
        <v>0.219687414933276</v>
      </c>
      <c r="AA63">
        <f ca="1" t="shared" si="18"/>
        <v>2665.38545783787</v>
      </c>
      <c r="AB63">
        <f ca="1" t="shared" si="15"/>
        <v>127.562463842095</v>
      </c>
    </row>
    <row r="64" spans="2:28">
      <c r="B64">
        <v>4</v>
      </c>
      <c r="C64">
        <f t="shared" si="19"/>
        <v>0.04</v>
      </c>
      <c r="D64">
        <f t="shared" si="20"/>
        <v>0.000312708022741402</v>
      </c>
      <c r="E64">
        <f t="shared" si="21"/>
        <v>1.3267371718559e-5</v>
      </c>
      <c r="G64" t="e">
        <f ca="1">G63*200</f>
        <v>#REF!</v>
      </c>
      <c r="L64" t="s">
        <v>281</v>
      </c>
      <c r="M64">
        <f ca="1">3*M63/M62</f>
        <v>0.310302619512836</v>
      </c>
      <c r="R64">
        <f t="shared" si="9"/>
        <v>0.094</v>
      </c>
      <c r="S64">
        <f t="shared" si="10"/>
        <v>0.906</v>
      </c>
      <c r="T64">
        <f t="shared" si="11"/>
        <v>0.085164</v>
      </c>
      <c r="U64">
        <f>(白天模拟!I38*V64+夜晚模拟!I38)/(V64*100)</f>
        <v>0.00158888001964368</v>
      </c>
      <c r="V64">
        <f t="shared" si="16"/>
        <v>7.82453603577596</v>
      </c>
      <c r="W64">
        <f t="shared" si="17"/>
        <v>0.0112780154518099</v>
      </c>
      <c r="X64">
        <f t="shared" si="12"/>
        <v>0.140882944027949</v>
      </c>
      <c r="Y64">
        <f t="shared" si="13"/>
        <v>0.121034940109967</v>
      </c>
      <c r="Z64">
        <f t="shared" si="14"/>
        <v>0.206198940109967</v>
      </c>
      <c r="AA64">
        <f ca="1" t="shared" si="18"/>
        <v>2665.38545783787</v>
      </c>
      <c r="AB64">
        <f ca="1" t="shared" si="15"/>
        <v>77.4292176290688</v>
      </c>
    </row>
    <row r="65" spans="2:28">
      <c r="B65">
        <v>5</v>
      </c>
      <c r="C65">
        <f t="shared" si="19"/>
        <v>0.05</v>
      </c>
      <c r="D65">
        <f t="shared" si="20"/>
        <v>0.000431108413735515</v>
      </c>
      <c r="E65">
        <f t="shared" si="21"/>
        <v>1.82907861649504e-5</v>
      </c>
      <c r="G65" t="e">
        <f ca="1">ROUND(G64,0)/100</f>
        <v>#REF!</v>
      </c>
      <c r="M65" t="s">
        <v>282</v>
      </c>
      <c r="N65" t="s">
        <v>283</v>
      </c>
      <c r="R65">
        <f t="shared" si="9"/>
        <v>0.204</v>
      </c>
      <c r="S65">
        <f t="shared" si="10"/>
        <v>0.796</v>
      </c>
      <c r="T65">
        <f t="shared" si="11"/>
        <v>0.162384</v>
      </c>
      <c r="U65">
        <f>(白天模拟!I39*V65+夜晚模拟!I39)/(V65*100)</f>
        <v>0.00100276406345635</v>
      </c>
      <c r="V65">
        <f t="shared" si="16"/>
        <v>7.82453603577596</v>
      </c>
      <c r="W65">
        <f t="shared" si="17"/>
        <v>0.0112780154518099</v>
      </c>
      <c r="X65">
        <f t="shared" si="12"/>
        <v>0.0889131663049302</v>
      </c>
      <c r="Y65">
        <f t="shared" si="13"/>
        <v>0.081007615162562</v>
      </c>
      <c r="Z65">
        <f t="shared" si="14"/>
        <v>0.243391615162562</v>
      </c>
      <c r="AA65">
        <f ca="1" t="shared" si="18"/>
        <v>2665.38545783787</v>
      </c>
      <c r="AB65">
        <f ca="1" t="shared" si="15"/>
        <v>57.6808581360207</v>
      </c>
    </row>
    <row r="66" spans="2:28">
      <c r="B66">
        <v>6</v>
      </c>
      <c r="C66">
        <f t="shared" si="19"/>
        <v>0.06</v>
      </c>
      <c r="D66">
        <f t="shared" si="20"/>
        <v>0.000571463006336577</v>
      </c>
      <c r="E66">
        <f t="shared" si="21"/>
        <v>2.42456591359746e-5</v>
      </c>
      <c r="G66" t="e">
        <f ca="1">VLOOKUP(G65,C61:E260,3,0)</f>
        <v>#REF!</v>
      </c>
      <c r="L66" t="s">
        <v>284</v>
      </c>
      <c r="M66">
        <f ca="1">M62*(1-M64)</f>
        <v>145.548240240814</v>
      </c>
      <c r="N66">
        <f ca="1">M62*(1+M64)</f>
        <v>276.515825416523</v>
      </c>
      <c r="R66">
        <f t="shared" si="9"/>
        <v>0.408</v>
      </c>
      <c r="S66">
        <f t="shared" si="10"/>
        <v>0.592</v>
      </c>
      <c r="T66">
        <f t="shared" si="11"/>
        <v>0.241536</v>
      </c>
      <c r="U66">
        <f>(白天模拟!I40*V66+夜晚模拟!I40)/(V66*100)</f>
        <v>0.000540279224044534</v>
      </c>
      <c r="V66">
        <f t="shared" si="16"/>
        <v>7.82453603577596</v>
      </c>
      <c r="W66">
        <f t="shared" si="17"/>
        <v>0.0112780154518099</v>
      </c>
      <c r="X66">
        <f t="shared" si="12"/>
        <v>0.0479055225942103</v>
      </c>
      <c r="Y66">
        <f t="shared" si="13"/>
        <v>0.0456105834991859</v>
      </c>
      <c r="Z66">
        <f t="shared" si="14"/>
        <v>0.287146583499186</v>
      </c>
      <c r="AA66">
        <f ca="1" t="shared" si="18"/>
        <v>2665.38545783787</v>
      </c>
      <c r="AB66">
        <f ca="1" t="shared" si="15"/>
        <v>36.6647948601075</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0.000837877713526508</v>
      </c>
      <c r="V67">
        <f t="shared" si="16"/>
        <v>7.82453603577596</v>
      </c>
      <c r="W67">
        <f t="shared" si="17"/>
        <v>0.0112780154518099</v>
      </c>
      <c r="X67">
        <f t="shared" si="12"/>
        <v>0.0742930098922716</v>
      </c>
      <c r="Y67">
        <f t="shared" si="13"/>
        <v>0.0687735585734185</v>
      </c>
      <c r="Z67">
        <f t="shared" si="14"/>
        <v>0.102548558573418</v>
      </c>
      <c r="AA67">
        <f ca="1" t="shared" si="18"/>
        <v>2665.38545783787</v>
      </c>
      <c r="AB67">
        <f ca="1" t="shared" si="15"/>
        <v>20.3066151338778</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0.000159436585234657</v>
      </c>
      <c r="V68">
        <f t="shared" si="16"/>
        <v>7.82453603577596</v>
      </c>
      <c r="W68">
        <f t="shared" si="17"/>
        <v>0.0112780154518099</v>
      </c>
      <c r="X68">
        <f t="shared" si="12"/>
        <v>0.0141369362292433</v>
      </c>
      <c r="Y68">
        <f t="shared" si="13"/>
        <v>0.0139370832632936</v>
      </c>
      <c r="Z68">
        <f t="shared" si="14"/>
        <v>0.0614370832632936</v>
      </c>
      <c r="AA68">
        <f ca="1" t="shared" si="18"/>
        <v>2665.38545783787</v>
      </c>
      <c r="AB68">
        <f ca="1" t="shared" si="15"/>
        <v>2.31497290417962</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5.69464931924115e-5</v>
      </c>
      <c r="V69">
        <f t="shared" si="16"/>
        <v>7.82453603577596</v>
      </c>
      <c r="W69">
        <f t="shared" si="17"/>
        <v>0.0112780154518099</v>
      </c>
      <c r="X69">
        <f t="shared" si="12"/>
        <v>0.00504933633366077</v>
      </c>
      <c r="Y69">
        <f t="shared" si="13"/>
        <v>0.00502384053625035</v>
      </c>
      <c r="Z69">
        <f t="shared" si="14"/>
        <v>0.0852798405362503</v>
      </c>
      <c r="AA69">
        <f ca="1" t="shared" si="18"/>
        <v>2665.38545783787</v>
      </c>
      <c r="AB69">
        <f ca="1" t="shared" si="15"/>
        <v>1.1477325626217</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9.24561104040292e-5</v>
      </c>
      <c r="V70">
        <f t="shared" si="16"/>
        <v>7.82453603577596</v>
      </c>
      <c r="W70">
        <f t="shared" si="17"/>
        <v>0.0112780154518099</v>
      </c>
      <c r="X70">
        <f t="shared" si="12"/>
        <v>0.0081979059879007</v>
      </c>
      <c r="Y70">
        <f t="shared" si="13"/>
        <v>0.00813070032531424</v>
      </c>
      <c r="Z70">
        <f t="shared" si="14"/>
        <v>0.117505700325314</v>
      </c>
      <c r="AA70">
        <f ca="1" t="shared" si="18"/>
        <v>2665.38545783787</v>
      </c>
      <c r="AB70">
        <f ca="1" t="shared" si="15"/>
        <v>2.56756763548343</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0.000818545067077803</v>
      </c>
      <c r="V71">
        <f t="shared" si="16"/>
        <v>7.82453603577596</v>
      </c>
      <c r="W71">
        <f t="shared" si="17"/>
        <v>0.0112780154518099</v>
      </c>
      <c r="X71">
        <f t="shared" si="12"/>
        <v>0.0725788212097582</v>
      </c>
      <c r="Y71">
        <f t="shared" si="13"/>
        <v>0.0673111359215601</v>
      </c>
      <c r="Z71">
        <f t="shared" si="14"/>
        <v>0.10108613592156</v>
      </c>
      <c r="AA71">
        <f ca="1" t="shared" si="18"/>
        <v>2665.38545783787</v>
      </c>
      <c r="AB71">
        <f ca="1" t="shared" si="15"/>
        <v>19.5551670346239</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0.000139390334048436</v>
      </c>
      <c r="V72">
        <f t="shared" si="16"/>
        <v>7.82453603577596</v>
      </c>
      <c r="W72">
        <f t="shared" si="17"/>
        <v>0.0112780154518099</v>
      </c>
      <c r="X72">
        <f t="shared" si="12"/>
        <v>0.0123594735832771</v>
      </c>
      <c r="Y72">
        <f t="shared" si="13"/>
        <v>0.0122067169960214</v>
      </c>
      <c r="Z72">
        <f t="shared" si="14"/>
        <v>0.0597067169960214</v>
      </c>
      <c r="AA72">
        <f ca="1" t="shared" si="18"/>
        <v>2665.38545783787</v>
      </c>
      <c r="AB72">
        <f ca="1" t="shared" si="15"/>
        <v>1.96690411737287</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4.01903253696592e-5</v>
      </c>
      <c r="V73">
        <f t="shared" si="16"/>
        <v>7.82453603577596</v>
      </c>
      <c r="W73">
        <f t="shared" si="17"/>
        <v>0.0112780154518099</v>
      </c>
      <c r="X73">
        <f t="shared" si="12"/>
        <v>0.00356359906948074</v>
      </c>
      <c r="Y73">
        <f t="shared" si="13"/>
        <v>0.00355089983115273</v>
      </c>
      <c r="Z73">
        <f t="shared" si="14"/>
        <v>0.0838068998311527</v>
      </c>
      <c r="AA73">
        <f ca="1" t="shared" si="18"/>
        <v>2665.38545783787</v>
      </c>
      <c r="AB73">
        <f ca="1" t="shared" si="15"/>
        <v>0.796028535626318</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6.25551811171134e-5</v>
      </c>
      <c r="V74">
        <f t="shared" si="16"/>
        <v>7.82453603577596</v>
      </c>
      <c r="W74">
        <f t="shared" si="17"/>
        <v>0.0112780154518099</v>
      </c>
      <c r="X74">
        <f t="shared" si="12"/>
        <v>0.00554664793503846</v>
      </c>
      <c r="Y74">
        <f t="shared" si="13"/>
        <v>0.00551588263172319</v>
      </c>
      <c r="Z74">
        <f t="shared" si="14"/>
        <v>0.114890882631723</v>
      </c>
      <c r="AA74">
        <f ca="1" t="shared" si="18"/>
        <v>2665.38545783787</v>
      </c>
      <c r="AB74">
        <f ca="1" t="shared" si="15"/>
        <v>1.69854160953218</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0.00167206988508287</v>
      </c>
      <c r="V75">
        <f t="shared" si="16"/>
        <v>7.82453603577596</v>
      </c>
      <c r="W75">
        <f t="shared" si="17"/>
        <v>0.0112780154518099</v>
      </c>
      <c r="X75">
        <f t="shared" si="12"/>
        <v>0.148259229846553</v>
      </c>
      <c r="Y75">
        <f t="shared" si="13"/>
        <v>0.12627843061186</v>
      </c>
      <c r="Z75">
        <f t="shared" si="14"/>
        <v>0.14970243061186</v>
      </c>
      <c r="AA75">
        <f ca="1" t="shared" si="18"/>
        <v>2665.38545783787</v>
      </c>
      <c r="AB75">
        <f ca="1" t="shared" si="15"/>
        <v>59.1576093849357</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9.52903849547475e-5</v>
      </c>
      <c r="V76">
        <f t="shared" si="16"/>
        <v>7.82453603577596</v>
      </c>
      <c r="W76">
        <f t="shared" si="17"/>
        <v>0.0112780154518099</v>
      </c>
      <c r="X76">
        <f t="shared" si="12"/>
        <v>0.00844921567645618</v>
      </c>
      <c r="Y76">
        <f t="shared" si="13"/>
        <v>0.00837782643090891</v>
      </c>
      <c r="Z76">
        <f t="shared" si="14"/>
        <v>0.0421528264309089</v>
      </c>
      <c r="AA76">
        <f ca="1" t="shared" si="18"/>
        <v>2665.38545783787</v>
      </c>
      <c r="AB76">
        <f ca="1" t="shared" si="15"/>
        <v>0.949299211845473</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0.00132616207507742</v>
      </c>
      <c r="V77">
        <f t="shared" si="16"/>
        <v>7.82453603577596</v>
      </c>
      <c r="W77">
        <f t="shared" si="17"/>
        <v>0.0112780154518099</v>
      </c>
      <c r="X77">
        <f t="shared" si="12"/>
        <v>0.117588247750148</v>
      </c>
      <c r="Y77">
        <f t="shared" si="13"/>
        <v>0.103761251741198</v>
      </c>
      <c r="Z77">
        <f t="shared" si="14"/>
        <v>0.196945251741198</v>
      </c>
      <c r="AA77">
        <f ca="1" t="shared" si="18"/>
        <v>2665.38545783787</v>
      </c>
      <c r="AB77">
        <f ca="1" t="shared" si="15"/>
        <v>61.7261880063964</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3.01784243044897e-5</v>
      </c>
      <c r="V78">
        <f t="shared" si="16"/>
        <v>7.82453603577596</v>
      </c>
      <c r="W78">
        <f t="shared" si="17"/>
        <v>0.0112780154518099</v>
      </c>
      <c r="X78">
        <f t="shared" si="12"/>
        <v>0.00267586300386267</v>
      </c>
      <c r="Y78">
        <f t="shared" si="13"/>
        <v>0.00266870276104723</v>
      </c>
      <c r="Z78">
        <f t="shared" si="14"/>
        <v>0.0373727027610472</v>
      </c>
      <c r="AA78">
        <f ca="1" t="shared" si="18"/>
        <v>2665.38545783787</v>
      </c>
      <c r="AB78">
        <f ca="1" t="shared" si="15"/>
        <v>0.266549827487896</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2.43092616762035e-5</v>
      </c>
      <c r="V79">
        <f t="shared" si="16"/>
        <v>7.82453603577596</v>
      </c>
      <c r="W79">
        <f t="shared" si="17"/>
        <v>0.0112780154518099</v>
      </c>
      <c r="X79">
        <f t="shared" si="12"/>
        <v>0.00215545561008274</v>
      </c>
      <c r="Y79">
        <f t="shared" si="13"/>
        <v>0.0021508096211957</v>
      </c>
      <c r="Z79">
        <f t="shared" si="14"/>
        <v>0.0423868096211957</v>
      </c>
      <c r="AA79">
        <f ca="1" t="shared" si="18"/>
        <v>2665.38545783787</v>
      </c>
      <c r="AB79">
        <f ca="1" t="shared" si="15"/>
        <v>0.243517309307115</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5.57622596025782e-5</v>
      </c>
      <c r="V80">
        <f t="shared" si="16"/>
        <v>7.82453603577596</v>
      </c>
      <c r="W80">
        <f t="shared" si="17"/>
        <v>0.0112780154518099</v>
      </c>
      <c r="X80">
        <f t="shared" si="12"/>
        <v>0.0049443326124925</v>
      </c>
      <c r="Y80">
        <f t="shared" si="13"/>
        <v>0.00491988618750955</v>
      </c>
      <c r="Z80">
        <f t="shared" si="14"/>
        <v>0.0884558861875095</v>
      </c>
      <c r="AA80">
        <f ca="1" t="shared" si="18"/>
        <v>2665.38545783787</v>
      </c>
      <c r="AB80">
        <f ca="1" t="shared" si="15"/>
        <v>1.16572051741593</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2.8371790753605e-5</v>
      </c>
      <c r="V81">
        <f t="shared" si="16"/>
        <v>7.82453603577596</v>
      </c>
      <c r="W81">
        <f t="shared" si="17"/>
        <v>0.0112780154518099</v>
      </c>
      <c r="X81">
        <f t="shared" si="12"/>
        <v>0.00251567227184919</v>
      </c>
      <c r="Y81">
        <f t="shared" si="13"/>
        <v>0.00250934366486984</v>
      </c>
      <c r="Z81">
        <f t="shared" si="14"/>
        <v>0.0693253436648698</v>
      </c>
      <c r="AA81">
        <f ca="1" t="shared" si="18"/>
        <v>2665.38545783787</v>
      </c>
      <c r="AB81">
        <f ca="1" t="shared" si="15"/>
        <v>0.464842810163453</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0.000115849176667594</v>
      </c>
      <c r="V82">
        <f t="shared" si="16"/>
        <v>7.82453603577596</v>
      </c>
      <c r="W82">
        <f t="shared" si="17"/>
        <v>0.0112780154518099</v>
      </c>
      <c r="X82">
        <f t="shared" si="12"/>
        <v>0.0102721243079164</v>
      </c>
      <c r="Y82">
        <f t="shared" si="13"/>
        <v>0.0101666077701191</v>
      </c>
      <c r="Z82">
        <f t="shared" si="14"/>
        <v>0.0904226077701191</v>
      </c>
      <c r="AA82">
        <f ca="1" t="shared" si="18"/>
        <v>2665.38545783787</v>
      </c>
      <c r="AB82">
        <f ca="1" t="shared" si="15"/>
        <v>2.47569601792706</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4.2604096825186e-6</v>
      </c>
      <c r="V83">
        <f t="shared" si="16"/>
        <v>7.82453603577596</v>
      </c>
      <c r="W83">
        <f t="shared" si="17"/>
        <v>0.0112780154518099</v>
      </c>
      <c r="X83">
        <f t="shared" si="12"/>
        <v>0.00037776235550687</v>
      </c>
      <c r="Y83">
        <f t="shared" si="13"/>
        <v>0.000377619651109632</v>
      </c>
      <c r="Z83">
        <f t="shared" si="14"/>
        <v>0.0967136196511096</v>
      </c>
      <c r="AA83">
        <f ca="1" t="shared" si="18"/>
        <v>2665.38545783787</v>
      </c>
      <c r="AB83">
        <f ca="1" t="shared" si="15"/>
        <v>0.0973792307208164</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8.04431747789463e-6</v>
      </c>
      <c r="V84">
        <f t="shared" si="16"/>
        <v>7.82453603577596</v>
      </c>
      <c r="W84">
        <f t="shared" si="17"/>
        <v>0.0112780154518099</v>
      </c>
      <c r="X84">
        <f t="shared" si="12"/>
        <v>0.000713274202564038</v>
      </c>
      <c r="Y84">
        <f t="shared" si="13"/>
        <v>0.000712765442475995</v>
      </c>
      <c r="Z84">
        <f t="shared" si="14"/>
        <v>0.032623765442476</v>
      </c>
      <c r="AA84">
        <f ca="1" t="shared" si="18"/>
        <v>2665.38545783787</v>
      </c>
      <c r="AB84">
        <f ca="1" t="shared" si="15"/>
        <v>0.0620226940823511</v>
      </c>
    </row>
    <row r="85" spans="2:28">
      <c r="B85">
        <v>25</v>
      </c>
      <c r="C85">
        <f t="shared" si="19"/>
        <v>0.25</v>
      </c>
      <c r="D85">
        <f t="shared" si="20"/>
        <v>0.0182435843048765</v>
      </c>
      <c r="E85">
        <f t="shared" si="21"/>
        <v>0.000774026877627722</v>
      </c>
      <c r="U85">
        <f>SUM(U59:U84)</f>
        <v>0.0112780154518099</v>
      </c>
      <c r="AB85">
        <f ca="1">SUM(AB59:AB84)</f>
        <v>476.45856574324</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285</v>
      </c>
      <c r="R94" t="s">
        <v>264</v>
      </c>
      <c r="S94" s="256">
        <f ca="1">S93-NOW()</f>
        <v>53.9476851851505</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286</v>
      </c>
    </row>
    <row r="99" spans="2:20">
      <c r="B99">
        <v>39</v>
      </c>
      <c r="C99">
        <f t="shared" si="22"/>
        <v>0.39</v>
      </c>
      <c r="D99">
        <f t="shared" si="23"/>
        <v>0.120612513055831</v>
      </c>
      <c r="E99">
        <f t="shared" si="24"/>
        <v>0.00511726891620102</v>
      </c>
      <c r="L99" t="s">
        <v>287</v>
      </c>
      <c r="M99" t="s">
        <v>288</v>
      </c>
      <c r="N99" t="s">
        <v>289</v>
      </c>
      <c r="O99">
        <f>毕业时间预测!C5</f>
        <v>414</v>
      </c>
      <c r="P99">
        <f>毕业时间预测!D5</f>
        <v>343</v>
      </c>
      <c r="Q99">
        <f>IF((P99-O99)&gt;0,P99-O99,0)</f>
        <v>0</v>
      </c>
      <c r="R99">
        <f>SMALL(Q99:Q101,1)</f>
        <v>0</v>
      </c>
      <c r="S99">
        <v>0</v>
      </c>
      <c r="T99">
        <f>0</f>
        <v>0</v>
      </c>
    </row>
    <row r="100" spans="2:20">
      <c r="B100">
        <v>40</v>
      </c>
      <c r="C100">
        <f t="shared" si="22"/>
        <v>0.4</v>
      </c>
      <c r="D100">
        <f t="shared" si="23"/>
        <v>0.136236646676023</v>
      </c>
      <c r="E100">
        <f t="shared" si="24"/>
        <v>0.00578015945128316</v>
      </c>
      <c r="K100" t="s">
        <v>290</v>
      </c>
      <c r="L100">
        <f>白天模拟!B55/(白天模拟!E52+白天模拟!E56+白天模拟!E57+白天模拟!B55)*N100</f>
        <v>2.30381897441832</v>
      </c>
      <c r="M100">
        <f>(白天模拟!E52+白天模拟!E56+白天模拟!E57)/(白天模拟!E52+白天模拟!E56+白天模拟!E57+白天模拟!B55)*N100</f>
        <v>0.106072597164809</v>
      </c>
      <c r="N100">
        <f>'倾向-优先级表'!H30</f>
        <v>2.40989157158313</v>
      </c>
      <c r="O100">
        <f>毕业时间预测!C6</f>
        <v>205</v>
      </c>
      <c r="P100">
        <f>毕业时间预测!D6</f>
        <v>343</v>
      </c>
      <c r="Q100">
        <f>IF((P100-O100)&gt;0,P100-O100,0)</f>
        <v>138</v>
      </c>
      <c r="R100">
        <f>SMALL(Q99:Q101,2)</f>
        <v>11</v>
      </c>
      <c r="S100">
        <f>R100-R99</f>
        <v>11</v>
      </c>
      <c r="T100">
        <f>0</f>
        <v>0</v>
      </c>
    </row>
    <row r="101" spans="2:20">
      <c r="B101">
        <v>41</v>
      </c>
      <c r="C101">
        <f t="shared" si="22"/>
        <v>0.41</v>
      </c>
      <c r="D101">
        <f t="shared" si="23"/>
        <v>0.153627019128793</v>
      </c>
      <c r="E101">
        <f t="shared" si="24"/>
        <v>0.00651798681379345</v>
      </c>
      <c r="H101">
        <f>'倾向-优先级表'!H30</f>
        <v>2.40989157158313</v>
      </c>
      <c r="K101" t="s">
        <v>291</v>
      </c>
      <c r="L101">
        <f>白天模拟!F54/(白天模拟!F52+白天模拟!F56+白天模拟!F57+白天模拟!F54)*N101</f>
        <v>2.61775848875832</v>
      </c>
      <c r="M101">
        <f>(白天模拟!F52+白天模拟!F56+白天模拟!F57)/(白天模拟!F52+白天模拟!F56+白天模拟!F57+白天模拟!F54)*N101</f>
        <v>3.39187793266976</v>
      </c>
      <c r="N101">
        <f>'倾向-优先级表'!H31</f>
        <v>6.00963642142808</v>
      </c>
      <c r="O101">
        <f>毕业时间预测!C7</f>
        <v>332</v>
      </c>
      <c r="P101">
        <f>毕业时间预测!D7</f>
        <v>343</v>
      </c>
      <c r="Q101">
        <f>IF((P101-O101)&gt;0,P101-O101,0)</f>
        <v>11</v>
      </c>
      <c r="R101">
        <f>SMALL(Q99:Q101,3)</f>
        <v>138</v>
      </c>
      <c r="S101">
        <f>R101-R99</f>
        <v>138</v>
      </c>
      <c r="T101">
        <f>S101-S100</f>
        <v>127</v>
      </c>
    </row>
    <row r="102" spans="2:19">
      <c r="B102">
        <v>42</v>
      </c>
      <c r="C102">
        <f t="shared" si="22"/>
        <v>0.42</v>
      </c>
      <c r="D102">
        <f t="shared" si="23"/>
        <v>0.172948485900776</v>
      </c>
      <c r="E102">
        <f t="shared" si="24"/>
        <v>0.00733774538463019</v>
      </c>
      <c r="H102">
        <f>'倾向-优先级表'!H31</f>
        <v>6.00963642142808</v>
      </c>
      <c r="S102" s="158"/>
    </row>
    <row r="103" spans="2:20">
      <c r="B103">
        <v>43</v>
      </c>
      <c r="C103">
        <f t="shared" si="22"/>
        <v>0.43</v>
      </c>
      <c r="D103">
        <f t="shared" si="23"/>
        <v>0.194376877345886</v>
      </c>
      <c r="E103">
        <f t="shared" si="24"/>
        <v>0.00824689517919164</v>
      </c>
      <c r="H103">
        <f>'倾向-优先级表'!H29</f>
        <v>0.698683101509185</v>
      </c>
      <c r="R103" t="s">
        <v>292</v>
      </c>
      <c r="S103" t="s">
        <v>293</v>
      </c>
      <c r="T103" t="s">
        <v>294</v>
      </c>
    </row>
    <row r="104" spans="2:20">
      <c r="B104">
        <v>44</v>
      </c>
      <c r="C104">
        <f t="shared" si="22"/>
        <v>0.44</v>
      </c>
      <c r="D104">
        <f t="shared" si="23"/>
        <v>0.218099206091681</v>
      </c>
      <c r="E104">
        <f t="shared" si="24"/>
        <v>0.00925337064707755</v>
      </c>
      <c r="R104">
        <f>N101/3</f>
        <v>2.00321214047603</v>
      </c>
      <c r="S104">
        <f>L101/2+M101/3</f>
        <v>2.43950522193575</v>
      </c>
      <c r="T104">
        <f>L101+M101/3</f>
        <v>3.74838446631491</v>
      </c>
    </row>
    <row r="105" spans="2:20">
      <c r="B105">
        <v>45</v>
      </c>
      <c r="C105">
        <f t="shared" si="22"/>
        <v>0.45</v>
      </c>
      <c r="D105">
        <f t="shared" si="23"/>
        <v>0.244313812338863</v>
      </c>
      <c r="E105">
        <f t="shared" si="24"/>
        <v>0.0103655868367614</v>
      </c>
      <c r="R105" t="s">
        <v>295</v>
      </c>
      <c r="S105" t="s">
        <v>296</v>
      </c>
      <c r="T105" t="s">
        <v>297</v>
      </c>
    </row>
    <row r="106" spans="2:20">
      <c r="B106">
        <v>46</v>
      </c>
      <c r="C106">
        <f t="shared" si="22"/>
        <v>0.46</v>
      </c>
      <c r="D106">
        <f t="shared" si="23"/>
        <v>0.273230438973862</v>
      </c>
      <c r="E106">
        <f t="shared" si="24"/>
        <v>0.0115924425824184</v>
      </c>
      <c r="R106">
        <f>R99/R104</f>
        <v>0</v>
      </c>
      <c r="S106">
        <f>S100/S104</f>
        <v>4.50911106936328</v>
      </c>
      <c r="T106">
        <f>T101/T104</f>
        <v>33.8812630191202</v>
      </c>
    </row>
    <row r="107" spans="2:20">
      <c r="B107">
        <v>47</v>
      </c>
      <c r="C107">
        <f t="shared" si="22"/>
        <v>0.47</v>
      </c>
      <c r="D107">
        <f t="shared" si="23"/>
        <v>0.305070228346631</v>
      </c>
      <c r="E107">
        <f t="shared" si="24"/>
        <v>0.0129433203672154</v>
      </c>
      <c r="G107">
        <f>毕业时间预测!C3</f>
        <v>433</v>
      </c>
      <c r="H107">
        <f>毕业时间预测!D3</f>
        <v>513</v>
      </c>
      <c r="R107">
        <f>R106</f>
        <v>0</v>
      </c>
      <c r="S107">
        <f>R107+S106</f>
        <v>4.50911106936328</v>
      </c>
      <c r="T107">
        <f>S107+T106</f>
        <v>38.3903740884835</v>
      </c>
    </row>
    <row r="108" spans="2:18">
      <c r="B108">
        <v>48</v>
      </c>
      <c r="C108">
        <f t="shared" si="22"/>
        <v>0.48</v>
      </c>
      <c r="D108">
        <f t="shared" si="23"/>
        <v>0.340065632598466</v>
      </c>
      <c r="E108">
        <f t="shared" si="24"/>
        <v>0.0144280825187586</v>
      </c>
      <c r="G108">
        <f>毕业时间预测!C4</f>
        <v>325</v>
      </c>
      <c r="H108">
        <f>毕业时间预测!D4</f>
        <v>513</v>
      </c>
      <c r="Q108">
        <f>IF(O99&gt;O100,0,1)+IF(O99&gt;O101,0,1)+1</f>
        <v>1</v>
      </c>
      <c r="R108">
        <f>SMALL(R107:T107,Q108)</f>
        <v>0</v>
      </c>
    </row>
    <row r="109" spans="2:18">
      <c r="B109">
        <v>49</v>
      </c>
      <c r="C109">
        <f t="shared" si="22"/>
        <v>0.49</v>
      </c>
      <c r="D109">
        <f t="shared" si="23"/>
        <v>0.378460229568073</v>
      </c>
      <c r="E109">
        <f t="shared" si="24"/>
        <v>0.0160570633984761</v>
      </c>
      <c r="Q109">
        <f>IF(O100&gt;=O99,0,1)+IF(O100&gt;O101,0,1)+1</f>
        <v>3</v>
      </c>
      <c r="R109">
        <f>SMALL(R107:T107,Q109)</f>
        <v>38.3903740884835</v>
      </c>
    </row>
    <row r="110" spans="2:18">
      <c r="B110">
        <v>50</v>
      </c>
      <c r="C110">
        <f t="shared" si="22"/>
        <v>0.5</v>
      </c>
      <c r="D110">
        <f t="shared" si="23"/>
        <v>0.420508436567326</v>
      </c>
      <c r="E110">
        <f t="shared" si="24"/>
        <v>0.0178410572578832</v>
      </c>
      <c r="Q110">
        <f>6-Q108-Q109</f>
        <v>2</v>
      </c>
      <c r="R110">
        <f>SMALL(R107:T107,Q110)</f>
        <v>4.50911106936328</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286</v>
      </c>
    </row>
    <row r="113" spans="2:19">
      <c r="B113">
        <v>53</v>
      </c>
      <c r="C113">
        <f t="shared" si="22"/>
        <v>0.53</v>
      </c>
      <c r="D113">
        <f t="shared" si="23"/>
        <v>0.571272354052182</v>
      </c>
      <c r="E113">
        <f t="shared" si="24"/>
        <v>0.0242375702653921</v>
      </c>
      <c r="O113">
        <f>毕业时间预测!C3</f>
        <v>433</v>
      </c>
      <c r="P113">
        <f>毕业时间预测!D3</f>
        <v>513</v>
      </c>
      <c r="Q113">
        <f>IF((P113-O113)&gt;0,P113-O113,0)</f>
        <v>80</v>
      </c>
      <c r="R113">
        <f>SMALL(Q113:Q114,1)</f>
        <v>80</v>
      </c>
      <c r="S113">
        <v>0</v>
      </c>
    </row>
    <row r="114" spans="2:19">
      <c r="B114">
        <v>54</v>
      </c>
      <c r="C114">
        <f t="shared" si="22"/>
        <v>0.54</v>
      </c>
      <c r="D114">
        <f t="shared" si="23"/>
        <v>0.630679632150913</v>
      </c>
      <c r="E114">
        <f t="shared" si="24"/>
        <v>0.026758063453939</v>
      </c>
      <c r="O114">
        <f>毕业时间预测!C4</f>
        <v>325</v>
      </c>
      <c r="P114">
        <f>毕业时间预测!D4</f>
        <v>513</v>
      </c>
      <c r="Q114">
        <f>IF((P114-O114)&gt;0,P114-O114,0)</f>
        <v>188</v>
      </c>
      <c r="R114">
        <f>SMALL(Q113:Q114,2)</f>
        <v>188</v>
      </c>
      <c r="S114">
        <f>R114-R113</f>
        <v>108</v>
      </c>
    </row>
    <row r="115" spans="2:19">
      <c r="B115">
        <v>55</v>
      </c>
      <c r="C115">
        <f t="shared" si="22"/>
        <v>0.55</v>
      </c>
      <c r="D115">
        <f t="shared" si="23"/>
        <v>0.695157159234235</v>
      </c>
      <c r="E115">
        <f t="shared" si="24"/>
        <v>0.0294936738543645</v>
      </c>
      <c r="R115" t="s">
        <v>292</v>
      </c>
      <c r="S115" t="s">
        <v>293</v>
      </c>
    </row>
    <row r="116" spans="2:19">
      <c r="B116">
        <v>56</v>
      </c>
      <c r="C116">
        <f t="shared" si="22"/>
        <v>0.56</v>
      </c>
      <c r="D116">
        <f t="shared" si="23"/>
        <v>0.765011815595633</v>
      </c>
      <c r="E116">
        <f t="shared" si="24"/>
        <v>0.0324574215832973</v>
      </c>
      <c r="R116">
        <f>N100/2</f>
        <v>1.20494578579156</v>
      </c>
      <c r="S116">
        <f>L100+M100/2</f>
        <v>2.35685527300072</v>
      </c>
    </row>
    <row r="117" spans="2:19">
      <c r="B117">
        <v>57</v>
      </c>
      <c r="C117">
        <f t="shared" si="22"/>
        <v>0.57</v>
      </c>
      <c r="D117">
        <f t="shared" si="23"/>
        <v>0.8405559272359</v>
      </c>
      <c r="E117">
        <f t="shared" si="24"/>
        <v>0.035662557804278</v>
      </c>
      <c r="R117" t="s">
        <v>295</v>
      </c>
      <c r="S117" t="s">
        <v>296</v>
      </c>
    </row>
    <row r="118" spans="2:19">
      <c r="B118">
        <v>58</v>
      </c>
      <c r="C118">
        <f t="shared" si="22"/>
        <v>0.58</v>
      </c>
      <c r="D118">
        <f t="shared" si="23"/>
        <v>0.922105961218644</v>
      </c>
      <c r="E118">
        <f t="shared" si="24"/>
        <v>0.0391225093751557</v>
      </c>
      <c r="R118">
        <f>R113/R116</f>
        <v>66.3930285854693</v>
      </c>
      <c r="S118">
        <f>S114/S116</f>
        <v>45.8237725655914</v>
      </c>
    </row>
    <row r="119" spans="2:19">
      <c r="B119">
        <v>59</v>
      </c>
      <c r="C119">
        <f t="shared" si="22"/>
        <v>0.59</v>
      </c>
      <c r="D119">
        <f t="shared" si="23"/>
        <v>1.00998108386118</v>
      </c>
      <c r="E119">
        <f t="shared" si="24"/>
        <v>0.0428508176759523</v>
      </c>
      <c r="R119">
        <f>R118</f>
        <v>66.3930285854693</v>
      </c>
      <c r="S119">
        <f>R118+S118</f>
        <v>112.216801151061</v>
      </c>
    </row>
    <row r="120" spans="2:18">
      <c r="B120">
        <v>60</v>
      </c>
      <c r="C120">
        <f t="shared" si="22"/>
        <v>0.6</v>
      </c>
      <c r="D120">
        <f t="shared" si="23"/>
        <v>1.10450158420022</v>
      </c>
      <c r="E120">
        <f t="shared" si="24"/>
        <v>0.0468610717206954</v>
      </c>
      <c r="Q120">
        <f>IF(Q114&gt;Q115,1,2)</f>
        <v>1</v>
      </c>
      <c r="R120">
        <f>SMALL(R119:S119,Q120)</f>
        <v>66.3930285854693</v>
      </c>
    </row>
    <row r="121" spans="2:18">
      <c r="B121">
        <v>61</v>
      </c>
      <c r="C121">
        <f t="shared" si="22"/>
        <v>0.61</v>
      </c>
      <c r="D121">
        <f t="shared" si="23"/>
        <v>1.20598716687476</v>
      </c>
      <c r="E121">
        <f t="shared" si="24"/>
        <v>0.0511668357289669</v>
      </c>
      <c r="Q121">
        <f>3-Q120</f>
        <v>2</v>
      </c>
      <c r="R121">
        <f>SMALL(R119:S119,Q121)</f>
        <v>112.216801151061</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J43" workbookViewId="0">
      <selection activeCell="T66" sqref="T66"/>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t="s">
        <v>307</v>
      </c>
      <c r="U1" s="34" t="s">
        <v>308</v>
      </c>
      <c r="V1" s="34"/>
      <c r="W1" s="102" t="s">
        <v>309</v>
      </c>
      <c r="X1" s="105" t="s">
        <v>310</v>
      </c>
      <c r="Y1" s="106" t="s">
        <v>311</v>
      </c>
      <c r="Z1" s="106" t="s">
        <v>312</v>
      </c>
      <c r="AA1" s="107" t="s">
        <v>313</v>
      </c>
      <c r="AB1" s="32"/>
      <c r="AC1" s="32"/>
      <c r="AD1" s="32"/>
      <c r="AE1" s="32"/>
    </row>
    <row r="2" ht="15.6" spans="1:31">
      <c r="A2" s="33">
        <f>数据表!H3</f>
        <v>16</v>
      </c>
      <c r="B2" s="35" t="s">
        <v>208</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SUMIF(F2:F27,"&lt;="&amp;'倾向-优先级表'!H14,O2:O27)</f>
        <v>0.882308444266452</v>
      </c>
      <c r="Q2" s="40">
        <f>VLOOKUP(1,A2:C27,3,0)+'倾向-优先级表'!D12/60</f>
        <v>0.75</v>
      </c>
      <c r="R2" s="40">
        <f>Q2*O2</f>
        <v>0.0323072499961754</v>
      </c>
      <c r="S2" s="40">
        <f>R29</f>
        <v>6.82453603577596</v>
      </c>
      <c r="T2" s="40">
        <f>'倾向-优先级表'!H14</f>
        <v>11</v>
      </c>
      <c r="U2" s="40">
        <f>V28</f>
        <v>0.228675703976161</v>
      </c>
      <c r="V2" s="40">
        <f>IF(F2&lt;=T2,O2,0)</f>
        <v>0.0430763333282339</v>
      </c>
      <c r="W2" s="103">
        <f>V2/P2*(1-U2)+U2*O2</f>
        <v>0.04750834207027</v>
      </c>
      <c r="X2" s="54">
        <f>VLOOKUP(G2,G33:L58,6,0)</f>
        <v>1125</v>
      </c>
      <c r="Y2" s="32">
        <f>VLOOKUP(G2,G33:L58,4,0)</f>
        <v>21008.2909090909</v>
      </c>
      <c r="Z2" s="32">
        <f>X2*O2</f>
        <v>48.4608749942631</v>
      </c>
      <c r="AA2" s="55">
        <f>Y2*O2</f>
        <v>904.960141856506</v>
      </c>
      <c r="AB2" s="32"/>
      <c r="AC2" s="32"/>
      <c r="AD2" s="32"/>
      <c r="AE2" s="32"/>
    </row>
    <row r="3" ht="15.6" spans="1:31">
      <c r="A3" s="41">
        <f>数据表!H4</f>
        <v>21</v>
      </c>
      <c r="B3" s="42" t="s">
        <v>214</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0.882308444266452</v>
      </c>
      <c r="Q3" s="40">
        <f>VLOOKUP(2,A2:C27,3,0)+'倾向-优先级表'!D12/60</f>
        <v>0.75</v>
      </c>
      <c r="R3" s="40">
        <f t="shared" ref="R3:R27" si="7">Q3*O3</f>
        <v>0.00374063222305219</v>
      </c>
      <c r="S3" s="40">
        <f>S2</f>
        <v>6.82453603577596</v>
      </c>
      <c r="T3" s="40">
        <f>T2</f>
        <v>11</v>
      </c>
      <c r="U3" s="40">
        <f>U2</f>
        <v>0.228675703976161</v>
      </c>
      <c r="V3" s="40">
        <f t="shared" ref="V3:V27" si="8">IF(F3&lt;=T3,O3,0)</f>
        <v>0.00498750963073625</v>
      </c>
      <c r="W3" s="103">
        <f t="shared" ref="W3:W27" si="9">V3/P3*(1-U3)+U3*O3</f>
        <v>0.00550066115911678</v>
      </c>
      <c r="X3" s="54">
        <f>VLOOKUP(G3,G33:L58,6,0)</f>
        <v>6125</v>
      </c>
      <c r="Y3" s="32">
        <f>VLOOKUP(G3,G33:L58,4,0)</f>
        <v>14011.9636363636</v>
      </c>
      <c r="Z3" s="32">
        <f t="shared" ref="Z3:Z27" si="10">X3*O3</f>
        <v>30.5484964882595</v>
      </c>
      <c r="AA3" s="55">
        <f t="shared" ref="AA3:AA27" si="11">Y3*O3</f>
        <v>69.8848035818896</v>
      </c>
      <c r="AB3" s="32"/>
      <c r="AC3" s="32"/>
      <c r="AD3" s="32"/>
      <c r="AE3" s="32"/>
    </row>
    <row r="4" ht="15.6" spans="1:31">
      <c r="A4" s="41">
        <f>数据表!H5</f>
        <v>25</v>
      </c>
      <c r="B4" s="42" t="s">
        <v>225</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0.882308444266452</v>
      </c>
      <c r="Q4" s="40">
        <f>VLOOKUP(3,A2:C27,3,0)+'倾向-优先级表'!D12/60</f>
        <v>0.75</v>
      </c>
      <c r="R4" s="40">
        <f t="shared" si="7"/>
        <v>0.00558409459310271</v>
      </c>
      <c r="S4" s="40">
        <f t="shared" ref="S4:S27" si="14">S3</f>
        <v>6.82453603577596</v>
      </c>
      <c r="T4" s="40">
        <f t="shared" ref="T4:T27" si="15">T3</f>
        <v>11</v>
      </c>
      <c r="U4" s="40">
        <f t="shared" ref="U4:U27" si="16">U3</f>
        <v>0.228675703976161</v>
      </c>
      <c r="V4" s="40">
        <f t="shared" si="8"/>
        <v>0.00744545945747028</v>
      </c>
      <c r="W4" s="103">
        <f t="shared" si="9"/>
        <v>0.0082115028705097</v>
      </c>
      <c r="X4" s="54">
        <f>VLOOKUP(G4,G33:L58,6,0)</f>
        <v>6125</v>
      </c>
      <c r="Y4" s="32">
        <f>VLOOKUP(G4,G33:L58,4,0)</f>
        <v>12103.5818181818</v>
      </c>
      <c r="Z4" s="32">
        <f t="shared" si="10"/>
        <v>45.6034391770055</v>
      </c>
      <c r="AA4" s="55">
        <f t="shared" si="11"/>
        <v>90.116727717447</v>
      </c>
      <c r="AB4" s="32"/>
      <c r="AC4" s="32"/>
      <c r="AD4" s="32"/>
      <c r="AE4" s="32"/>
    </row>
    <row r="5" ht="15.6" spans="1:31">
      <c r="A5" s="41">
        <f>数据表!H6</f>
        <v>7</v>
      </c>
      <c r="B5" s="42" t="s">
        <v>227</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0.882308444266452</v>
      </c>
      <c r="Q5" s="40">
        <f>VLOOKUP(4,A2:C27,3,0)+'倾向-优先级表'!D12/60</f>
        <v>4.25</v>
      </c>
      <c r="R5" s="40">
        <f t="shared" si="7"/>
        <v>0.33955050909951</v>
      </c>
      <c r="S5" s="40">
        <f t="shared" si="14"/>
        <v>6.82453603577596</v>
      </c>
      <c r="T5" s="40">
        <f t="shared" si="15"/>
        <v>11</v>
      </c>
      <c r="U5" s="40">
        <f t="shared" si="16"/>
        <v>0.228675703976161</v>
      </c>
      <c r="V5" s="40">
        <f t="shared" si="8"/>
        <v>0.0798942374351787</v>
      </c>
      <c r="W5" s="103">
        <f t="shared" si="9"/>
        <v>0.0881143418728732</v>
      </c>
      <c r="X5" s="54">
        <f>VLOOKUP(G5,G33:L58,6,0)</f>
        <v>6375</v>
      </c>
      <c r="Y5" s="32">
        <f>VLOOKUP(G5,G33:L58,4,0)</f>
        <v>10504.1454545455</v>
      </c>
      <c r="Z5" s="32">
        <f t="shared" si="10"/>
        <v>509.325763649265</v>
      </c>
      <c r="AA5" s="55">
        <f t="shared" si="11"/>
        <v>839.220690999112</v>
      </c>
      <c r="AB5" s="32"/>
      <c r="AC5" s="32"/>
      <c r="AD5" s="32"/>
      <c r="AE5" s="32"/>
    </row>
    <row r="6" ht="15.6" spans="1:31">
      <c r="A6" s="41">
        <f>数据表!H7</f>
        <v>6</v>
      </c>
      <c r="B6" s="42" t="s">
        <v>228</v>
      </c>
      <c r="C6" s="43">
        <v>1</v>
      </c>
      <c r="D6" s="44">
        <v>3173</v>
      </c>
      <c r="E6" s="45">
        <f t="shared" si="0"/>
        <v>3173</v>
      </c>
      <c r="F6" s="39">
        <v>5</v>
      </c>
      <c r="G6" s="40" t="str">
        <f>VLOOKUP(5,数据表!A1:B26,2,0)</f>
        <v>舰装解析2h</v>
      </c>
      <c r="H6" s="40">
        <f>VLOOKUP(G6,B2:E27,4,0)</f>
        <v>1588</v>
      </c>
      <c r="I6" s="78">
        <f t="shared" si="12"/>
        <v>35238.67</v>
      </c>
      <c r="J6" s="78">
        <f t="shared" si="1"/>
        <v>0.0450641298323688</v>
      </c>
      <c r="K6" s="78">
        <f t="shared" si="2"/>
        <v>0.0150213766107896</v>
      </c>
      <c r="L6" s="78">
        <f t="shared" si="3"/>
        <v>0.844843430944372</v>
      </c>
      <c r="M6" s="78">
        <f t="shared" si="4"/>
        <v>0.155156569055628</v>
      </c>
      <c r="N6" s="78">
        <f t="shared" si="5"/>
        <v>0.730448639774117</v>
      </c>
      <c r="O6" s="78">
        <f t="shared" si="6"/>
        <v>0.134147820374264</v>
      </c>
      <c r="P6" s="40">
        <f t="shared" si="13"/>
        <v>0.882308444266452</v>
      </c>
      <c r="Q6" s="40">
        <f>VLOOKUP(5,A2:C27,3,0)+'倾向-优先级表'!D12/60</f>
        <v>2.25</v>
      </c>
      <c r="R6" s="40">
        <f t="shared" si="7"/>
        <v>0.301832595842094</v>
      </c>
      <c r="S6" s="40">
        <f t="shared" si="14"/>
        <v>6.82453603577596</v>
      </c>
      <c r="T6" s="40">
        <f t="shared" si="15"/>
        <v>11</v>
      </c>
      <c r="U6" s="40">
        <f t="shared" si="16"/>
        <v>0.228675703976161</v>
      </c>
      <c r="V6" s="40">
        <f t="shared" si="8"/>
        <v>0.134147820374264</v>
      </c>
      <c r="W6" s="103">
        <f t="shared" si="9"/>
        <v>0.147949930876416</v>
      </c>
      <c r="X6" s="54">
        <f>VLOOKUP(G6,G33:L58,6,0)</f>
        <v>3375</v>
      </c>
      <c r="Y6" s="32">
        <f>VLOOKUP(G6,G33:L58,4,0)</f>
        <v>4840.14545454545</v>
      </c>
      <c r="Z6" s="32">
        <f t="shared" si="10"/>
        <v>452.74889376314</v>
      </c>
      <c r="AA6" s="55">
        <f t="shared" si="11"/>
        <v>649.294963021672</v>
      </c>
      <c r="AB6" s="32"/>
      <c r="AC6" s="32"/>
      <c r="AD6" s="32"/>
      <c r="AE6" s="32"/>
    </row>
    <row r="7" ht="15.6" spans="1:31">
      <c r="A7" s="41">
        <f>数据表!H8</f>
        <v>5</v>
      </c>
      <c r="B7" s="42" t="s">
        <v>229</v>
      </c>
      <c r="C7" s="43">
        <v>2</v>
      </c>
      <c r="D7" s="44">
        <v>1588</v>
      </c>
      <c r="E7" s="45">
        <f t="shared" si="0"/>
        <v>1588</v>
      </c>
      <c r="F7" s="39">
        <v>6</v>
      </c>
      <c r="G7" s="40" t="str">
        <f>VLOOKUP(6,数据表!A1:B26,2,0)</f>
        <v>舰装解析1h</v>
      </c>
      <c r="H7" s="40">
        <f>VLOOKUP(G7,B2:E27,4,0)</f>
        <v>3173</v>
      </c>
      <c r="I7" s="78">
        <f t="shared" si="12"/>
        <v>33650.67</v>
      </c>
      <c r="J7" s="78">
        <f t="shared" si="1"/>
        <v>0.0942923276119019</v>
      </c>
      <c r="K7" s="78">
        <f t="shared" si="2"/>
        <v>0.031430775870634</v>
      </c>
      <c r="L7" s="78">
        <f t="shared" si="3"/>
        <v>0.696988272953447</v>
      </c>
      <c r="M7" s="78">
        <f t="shared" si="4"/>
        <v>0.303011727046553</v>
      </c>
      <c r="N7" s="78">
        <f t="shared" si="5"/>
        <v>0.509114135917356</v>
      </c>
      <c r="O7" s="78">
        <f t="shared" si="6"/>
        <v>0.221334503856761</v>
      </c>
      <c r="P7" s="40">
        <f t="shared" si="13"/>
        <v>0.882308444266452</v>
      </c>
      <c r="Q7" s="40">
        <f>VLOOKUP(6,A2:C27,3,0)+'倾向-优先级表'!D12/60</f>
        <v>1.25</v>
      </c>
      <c r="R7" s="40">
        <f t="shared" si="7"/>
        <v>0.276668129820951</v>
      </c>
      <c r="S7" s="40">
        <f t="shared" si="14"/>
        <v>6.82453603577596</v>
      </c>
      <c r="T7" s="40">
        <f t="shared" si="15"/>
        <v>11</v>
      </c>
      <c r="U7" s="40">
        <f t="shared" si="16"/>
        <v>0.228675703976161</v>
      </c>
      <c r="V7" s="40">
        <f t="shared" si="8"/>
        <v>0.221334503856761</v>
      </c>
      <c r="W7" s="103">
        <f t="shared" si="9"/>
        <v>0.244107019069063</v>
      </c>
      <c r="X7" s="54">
        <f>VLOOKUP(G7,G33:L58,6,0)</f>
        <v>1875</v>
      </c>
      <c r="Y7" s="32">
        <f>VLOOKUP(G7,G33:L58,4,0)</f>
        <v>2677.52727272727</v>
      </c>
      <c r="Z7" s="32">
        <f t="shared" si="10"/>
        <v>415.002194731427</v>
      </c>
      <c r="AA7" s="55">
        <f t="shared" si="11"/>
        <v>592.629170472036</v>
      </c>
      <c r="AB7" s="32"/>
      <c r="AC7" s="32"/>
      <c r="AD7" s="32"/>
      <c r="AE7" s="32"/>
    </row>
    <row r="8" ht="15.6" spans="1:31">
      <c r="A8" s="41">
        <f>数据表!H9</f>
        <v>4</v>
      </c>
      <c r="B8" s="42" t="s">
        <v>231</v>
      </c>
      <c r="C8" s="43">
        <v>4</v>
      </c>
      <c r="D8" s="44">
        <v>861</v>
      </c>
      <c r="E8" s="45">
        <f t="shared" si="0"/>
        <v>861</v>
      </c>
      <c r="F8" s="39">
        <v>7</v>
      </c>
      <c r="G8" s="40" t="str">
        <f>VLOOKUP(7,数据表!A1:B26,2,0)</f>
        <v>心智补全0.5h</v>
      </c>
      <c r="H8" s="40">
        <f>VLOOKUP(G8,B2:E27,4,0)</f>
        <v>44</v>
      </c>
      <c r="I8" s="78">
        <f t="shared" si="12"/>
        <v>30477.67</v>
      </c>
      <c r="J8" s="78">
        <f t="shared" si="1"/>
        <v>0.00144367991385168</v>
      </c>
      <c r="K8" s="78">
        <f t="shared" si="2"/>
        <v>0.000481226637950561</v>
      </c>
      <c r="L8" s="78">
        <f t="shared" si="3"/>
        <v>0.994717149594651</v>
      </c>
      <c r="M8" s="78">
        <f t="shared" si="4"/>
        <v>0.00528285040534937</v>
      </c>
      <c r="N8" s="78">
        <f t="shared" si="5"/>
        <v>0.506424562098056</v>
      </c>
      <c r="O8" s="78">
        <f t="shared" si="6"/>
        <v>0.0026895738193001</v>
      </c>
      <c r="P8" s="40">
        <f t="shared" si="13"/>
        <v>0.882308444266452</v>
      </c>
      <c r="Q8" s="40">
        <f>VLOOKUP(7,A2:C27,3,0)+'倾向-优先级表'!D12/60</f>
        <v>0.75</v>
      </c>
      <c r="R8" s="40">
        <f t="shared" si="7"/>
        <v>0.00201718036447507</v>
      </c>
      <c r="S8" s="40">
        <f t="shared" si="14"/>
        <v>6.82453603577596</v>
      </c>
      <c r="T8" s="40">
        <f t="shared" si="15"/>
        <v>11</v>
      </c>
      <c r="U8" s="40">
        <f t="shared" si="16"/>
        <v>0.228675703976161</v>
      </c>
      <c r="V8" s="40">
        <f t="shared" si="8"/>
        <v>0.0026895738193001</v>
      </c>
      <c r="W8" s="103">
        <f t="shared" si="9"/>
        <v>0.00296629687714859</v>
      </c>
      <c r="X8" s="54">
        <f>VLOOKUP(G8,G33:L58,6,0)</f>
        <v>4125</v>
      </c>
      <c r="Y8" s="32">
        <f>VLOOKUP(G8,G33:L58,4,0)</f>
        <v>5582.28545454545</v>
      </c>
      <c r="Z8" s="32">
        <f t="shared" si="10"/>
        <v>11.0944920046129</v>
      </c>
      <c r="AA8" s="55">
        <f t="shared" si="11"/>
        <v>15.0139688104052</v>
      </c>
      <c r="AB8" s="32"/>
      <c r="AC8" s="32"/>
      <c r="AD8" s="32"/>
      <c r="AE8" s="32"/>
    </row>
    <row r="9" ht="15.6" spans="1:31">
      <c r="A9" s="41">
        <f>数据表!H10</f>
        <v>1</v>
      </c>
      <c r="B9" s="42" t="s">
        <v>233</v>
      </c>
      <c r="C9" s="43">
        <v>0.5</v>
      </c>
      <c r="D9" s="44">
        <v>438</v>
      </c>
      <c r="E9" s="45">
        <f t="shared" si="0"/>
        <v>438</v>
      </c>
      <c r="F9" s="39">
        <v>8</v>
      </c>
      <c r="G9" s="40" t="str">
        <f>VLOOKUP(8,数据表!A1:B26,2,0)</f>
        <v>资金募集4h</v>
      </c>
      <c r="H9" s="40">
        <f>VLOOKUP(G9,B2:E27,4,0)</f>
        <v>1793</v>
      </c>
      <c r="I9" s="78">
        <f t="shared" si="12"/>
        <v>30433.67</v>
      </c>
      <c r="J9" s="78">
        <f t="shared" si="1"/>
        <v>0.0589150109073273</v>
      </c>
      <c r="K9" s="78">
        <f t="shared" si="2"/>
        <v>0.0196383369691091</v>
      </c>
      <c r="L9" s="78">
        <f t="shared" si="3"/>
        <v>0.801049176540079</v>
      </c>
      <c r="M9" s="78">
        <f t="shared" si="4"/>
        <v>0.198950823459921</v>
      </c>
      <c r="N9" s="78">
        <f t="shared" si="5"/>
        <v>0.405670978448318</v>
      </c>
      <c r="O9" s="78">
        <f t="shared" si="6"/>
        <v>0.100753583649738</v>
      </c>
      <c r="P9" s="40">
        <f t="shared" si="13"/>
        <v>0.882308444266452</v>
      </c>
      <c r="Q9" s="40">
        <f>VLOOKUP(8,A2:C27,3,0)+'倾向-优先级表'!D12/60</f>
        <v>4.25</v>
      </c>
      <c r="R9" s="40">
        <f t="shared" si="7"/>
        <v>0.428202730511388</v>
      </c>
      <c r="S9" s="40">
        <f t="shared" si="14"/>
        <v>6.82453603577596</v>
      </c>
      <c r="T9" s="40">
        <f t="shared" si="15"/>
        <v>11</v>
      </c>
      <c r="U9" s="40">
        <f t="shared" si="16"/>
        <v>0.228675703976161</v>
      </c>
      <c r="V9" s="40">
        <f t="shared" si="8"/>
        <v>0.100753583649738</v>
      </c>
      <c r="W9" s="103">
        <f t="shared" si="9"/>
        <v>0.111119850437688</v>
      </c>
      <c r="X9" s="54">
        <f>VLOOKUP(G9,G33:L58,6,0)</f>
        <v>6375</v>
      </c>
      <c r="Y9" s="32">
        <f>VLOOKUP(G9,G33:L58,4,0)</f>
        <v>7414.69090909091</v>
      </c>
      <c r="Z9" s="32">
        <f t="shared" si="10"/>
        <v>642.304095767082</v>
      </c>
      <c r="AA9" s="55">
        <f t="shared" si="11"/>
        <v>747.056680746046</v>
      </c>
      <c r="AB9" s="32"/>
      <c r="AC9" s="32"/>
      <c r="AD9" s="32"/>
      <c r="AE9" s="32"/>
    </row>
    <row r="10" ht="15.6" spans="1:31">
      <c r="A10" s="41">
        <f>数据表!H11</f>
        <v>11</v>
      </c>
      <c r="B10" s="42" t="s">
        <v>234</v>
      </c>
      <c r="C10" s="43">
        <v>2.5</v>
      </c>
      <c r="D10" s="44">
        <v>4817</v>
      </c>
      <c r="E10" s="45">
        <f>D28*D10</f>
        <v>2890.2</v>
      </c>
      <c r="F10" s="39">
        <v>9</v>
      </c>
      <c r="G10" s="40" t="str">
        <f>VLOOKUP(9,数据表!A1:B26,2,0)</f>
        <v>资金募集1.5h</v>
      </c>
      <c r="H10" s="40">
        <f>VLOOKUP(G10,B2:E27,4,0)</f>
        <v>3436</v>
      </c>
      <c r="I10" s="78">
        <f t="shared" si="12"/>
        <v>28640.67</v>
      </c>
      <c r="J10" s="78">
        <f t="shared" si="1"/>
        <v>0.119969260495652</v>
      </c>
      <c r="K10" s="78">
        <f t="shared" si="2"/>
        <v>0.0399897534985506</v>
      </c>
      <c r="L10" s="78">
        <f t="shared" si="3"/>
        <v>0.628123820924558</v>
      </c>
      <c r="M10" s="78">
        <f t="shared" si="4"/>
        <v>0.371876179075442</v>
      </c>
      <c r="N10" s="78">
        <f t="shared" si="5"/>
        <v>0.254811605021161</v>
      </c>
      <c r="O10" s="78">
        <f t="shared" si="6"/>
        <v>0.150859373427156</v>
      </c>
      <c r="P10" s="40">
        <f t="shared" si="13"/>
        <v>0.882308444266452</v>
      </c>
      <c r="Q10" s="40">
        <f>VLOOKUP(9,A2:C27,3,0)+'倾向-优先级表'!D12/60</f>
        <v>1.75</v>
      </c>
      <c r="R10" s="40">
        <f t="shared" si="7"/>
        <v>0.264003903497523</v>
      </c>
      <c r="S10" s="40">
        <f t="shared" si="14"/>
        <v>6.82453603577596</v>
      </c>
      <c r="T10" s="40">
        <f t="shared" si="15"/>
        <v>11</v>
      </c>
      <c r="U10" s="40">
        <f t="shared" si="16"/>
        <v>0.228675703976161</v>
      </c>
      <c r="V10" s="40">
        <f t="shared" si="8"/>
        <v>0.150859373427156</v>
      </c>
      <c r="W10" s="103">
        <f t="shared" si="9"/>
        <v>0.166380890933128</v>
      </c>
      <c r="X10" s="54">
        <f>VLOOKUP(G10,G33:L58,6,0)</f>
        <v>2625</v>
      </c>
      <c r="Y10" s="32">
        <f>VLOOKUP(G10,G33:L58,4,0)</f>
        <v>2085.38181818182</v>
      </c>
      <c r="Z10" s="32">
        <f t="shared" si="10"/>
        <v>396.005855246285</v>
      </c>
      <c r="AA10" s="55">
        <f t="shared" si="11"/>
        <v>314.599394447293</v>
      </c>
      <c r="AB10" s="32"/>
      <c r="AC10" s="32"/>
      <c r="AD10" s="32"/>
      <c r="AE10" s="32"/>
    </row>
    <row r="11" ht="15.6" spans="1:31">
      <c r="A11" s="41">
        <f>数据表!H12</f>
        <v>19</v>
      </c>
      <c r="B11" s="42" t="s">
        <v>235</v>
      </c>
      <c r="C11" s="43">
        <v>5</v>
      </c>
      <c r="D11" s="44">
        <v>3036</v>
      </c>
      <c r="E11" s="45">
        <f>D28*D11</f>
        <v>1821.6</v>
      </c>
      <c r="F11" s="39">
        <v>10</v>
      </c>
      <c r="G11" s="40" t="str">
        <f>VLOOKUP(10,数据表!A1:B26,2,0)</f>
        <v>彩船定向2.5h</v>
      </c>
      <c r="H11" s="40">
        <f>VLOOKUP(G11,B2:E27,4,0)</f>
        <v>1926.8</v>
      </c>
      <c r="I11" s="78">
        <f t="shared" si="12"/>
        <v>25204.67</v>
      </c>
      <c r="J11" s="78">
        <f t="shared" si="1"/>
        <v>0.0764461506538272</v>
      </c>
      <c r="K11" s="78">
        <f t="shared" si="2"/>
        <v>0.0254820502179424</v>
      </c>
      <c r="L11" s="78">
        <f t="shared" si="3"/>
        <v>0.7481115400726</v>
      </c>
      <c r="M11" s="78">
        <f t="shared" si="4"/>
        <v>0.2518884599274</v>
      </c>
      <c r="N11" s="78">
        <f t="shared" si="5"/>
        <v>0.190627502260752</v>
      </c>
      <c r="O11" s="78">
        <f t="shared" si="6"/>
        <v>0.0641841027604094</v>
      </c>
      <c r="P11" s="40">
        <f t="shared" si="13"/>
        <v>0.882308444266452</v>
      </c>
      <c r="Q11" s="40">
        <f>VLOOKUP(10,A2:C27,3,0)+'倾向-优先级表'!D12/60</f>
        <v>2.75</v>
      </c>
      <c r="R11" s="40">
        <f t="shared" si="7"/>
        <v>0.176506282591126</v>
      </c>
      <c r="S11" s="40">
        <f t="shared" si="14"/>
        <v>6.82453603577596</v>
      </c>
      <c r="T11" s="40">
        <f t="shared" si="15"/>
        <v>11</v>
      </c>
      <c r="U11" s="40">
        <f t="shared" si="16"/>
        <v>0.228675703976161</v>
      </c>
      <c r="V11" s="40">
        <f t="shared" si="8"/>
        <v>0.0641841027604094</v>
      </c>
      <c r="W11" s="103">
        <f t="shared" si="9"/>
        <v>0.0707878334532311</v>
      </c>
      <c r="X11" s="54">
        <f>VLOOKUP(G11,G33:L58,6,0)</f>
        <v>4125</v>
      </c>
      <c r="Y11" s="32">
        <f>VLOOKUP(G11,G33:L58,4,0)</f>
        <v>3765.27272727273</v>
      </c>
      <c r="Z11" s="32">
        <f t="shared" si="10"/>
        <v>264.759423886689</v>
      </c>
      <c r="AA11" s="55">
        <f t="shared" si="11"/>
        <v>241.67065164824</v>
      </c>
      <c r="AB11" s="32"/>
      <c r="AC11" s="32"/>
      <c r="AD11" s="32"/>
      <c r="AE11" s="32"/>
    </row>
    <row r="12" ht="15.6" spans="1:31">
      <c r="A12" s="41">
        <f>数据表!H13</f>
        <v>22</v>
      </c>
      <c r="B12" s="42" t="s">
        <v>236</v>
      </c>
      <c r="C12" s="43">
        <v>8</v>
      </c>
      <c r="D12" s="44">
        <v>716</v>
      </c>
      <c r="E12" s="45">
        <f>D28*D12</f>
        <v>429.6</v>
      </c>
      <c r="F12" s="39">
        <v>11</v>
      </c>
      <c r="G12" s="40" t="str">
        <f>VLOOKUP(11,数据表!A1:B26,2,0)</f>
        <v>金船定向2.5h</v>
      </c>
      <c r="H12" s="40">
        <f>VLOOKUP(G12,B2:E27,4,0)</f>
        <v>2890.2</v>
      </c>
      <c r="I12" s="78">
        <f t="shared" si="12"/>
        <v>23277.87</v>
      </c>
      <c r="J12" s="78">
        <f t="shared" si="1"/>
        <v>0.12416084461336</v>
      </c>
      <c r="K12" s="78">
        <f t="shared" si="2"/>
        <v>0.0413869482044534</v>
      </c>
      <c r="L12" s="78">
        <f t="shared" si="3"/>
        <v>0.617390220916615</v>
      </c>
      <c r="M12" s="78">
        <f t="shared" si="4"/>
        <v>0.382609779083385</v>
      </c>
      <c r="N12" s="78">
        <f t="shared" si="5"/>
        <v>0.117691555733548</v>
      </c>
      <c r="O12" s="78">
        <f t="shared" si="6"/>
        <v>0.0729359465272038</v>
      </c>
      <c r="P12" s="40">
        <f t="shared" si="13"/>
        <v>0.882308444266452</v>
      </c>
      <c r="Q12" s="40">
        <f>VLOOKUP(11,A2:C27,3,0)+'倾向-优先级表'!D12/60</f>
        <v>2.75</v>
      </c>
      <c r="R12" s="40">
        <f t="shared" si="7"/>
        <v>0.20057385294981</v>
      </c>
      <c r="S12" s="40">
        <f t="shared" si="14"/>
        <v>6.82453603577596</v>
      </c>
      <c r="T12" s="40">
        <f t="shared" si="15"/>
        <v>11</v>
      </c>
      <c r="U12" s="40">
        <f t="shared" si="16"/>
        <v>0.228675703976161</v>
      </c>
      <c r="V12" s="40">
        <f t="shared" si="8"/>
        <v>0.0729359465272038</v>
      </c>
      <c r="W12" s="103">
        <f t="shared" si="9"/>
        <v>0.0804401310211374</v>
      </c>
      <c r="X12" s="54">
        <f>VLOOKUP(G12,G33:L58,6,0)</f>
        <v>4125</v>
      </c>
      <c r="Y12" s="32">
        <f>VLOOKUP(G12,G33:L58,4,0)</f>
        <v>3282.54545454545</v>
      </c>
      <c r="Z12" s="32">
        <f t="shared" si="10"/>
        <v>300.860779424716</v>
      </c>
      <c r="AA12" s="55">
        <f t="shared" si="11"/>
        <v>239.415559745843</v>
      </c>
      <c r="AB12" s="32"/>
      <c r="AC12" s="32"/>
      <c r="AD12" s="32"/>
      <c r="AE12" s="32"/>
    </row>
    <row r="13" ht="15.6" spans="1:31">
      <c r="A13" s="41">
        <f>数据表!H14</f>
        <v>3</v>
      </c>
      <c r="B13" s="42" t="s">
        <v>238</v>
      </c>
      <c r="C13" s="43">
        <v>0.5</v>
      </c>
      <c r="D13" s="44">
        <v>129</v>
      </c>
      <c r="E13" s="45">
        <f>D28*D13</f>
        <v>77.4</v>
      </c>
      <c r="F13" s="39">
        <v>12</v>
      </c>
      <c r="G13" s="40" t="str">
        <f>VLOOKUP(12,数据表!A1:B26,2,0)</f>
        <v>试验品募集2h紫</v>
      </c>
      <c r="H13" s="40">
        <f>VLOOKUP(G13,B2:E27,4,0)</f>
        <v>482</v>
      </c>
      <c r="I13" s="78">
        <f t="shared" si="12"/>
        <v>20387.67</v>
      </c>
      <c r="J13" s="78">
        <f t="shared" si="1"/>
        <v>0.0236417403263835</v>
      </c>
      <c r="K13" s="78">
        <f t="shared" si="2"/>
        <v>0.00788058010879451</v>
      </c>
      <c r="L13" s="78">
        <f t="shared" si="3"/>
        <v>0.916126646283618</v>
      </c>
      <c r="M13" s="78">
        <f t="shared" si="4"/>
        <v>0.0838733537163819</v>
      </c>
      <c r="N13" s="78">
        <f t="shared" si="5"/>
        <v>0.107820370250077</v>
      </c>
      <c r="O13" s="78">
        <f t="shared" si="6"/>
        <v>0.00987118548347118</v>
      </c>
      <c r="P13" s="40">
        <f t="shared" si="13"/>
        <v>0.882308444266452</v>
      </c>
      <c r="Q13" s="40">
        <f>VLOOKUP(12,A2:C27,3,0)+'倾向-优先级表'!D12/60</f>
        <v>2.25</v>
      </c>
      <c r="R13" s="40">
        <f t="shared" si="7"/>
        <v>0.0222101673378102</v>
      </c>
      <c r="S13" s="40">
        <f t="shared" si="14"/>
        <v>6.82453603577596</v>
      </c>
      <c r="T13" s="40">
        <f t="shared" si="15"/>
        <v>11</v>
      </c>
      <c r="U13" s="40">
        <f t="shared" si="16"/>
        <v>0.228675703976161</v>
      </c>
      <c r="V13" s="40">
        <f t="shared" si="8"/>
        <v>0</v>
      </c>
      <c r="W13" s="103">
        <f t="shared" si="9"/>
        <v>0.00225730028951203</v>
      </c>
      <c r="X13" s="54">
        <f>VLOOKUP(G13,G33:L58,6,0)</f>
        <v>3375</v>
      </c>
      <c r="Y13" s="32">
        <f>VLOOKUP(G13,G33:L58,4,0)</f>
        <v>2162.61818181818</v>
      </c>
      <c r="Z13" s="32">
        <f t="shared" si="10"/>
        <v>33.3152510067152</v>
      </c>
      <c r="AA13" s="55">
        <f t="shared" si="11"/>
        <v>21.3476052026544</v>
      </c>
      <c r="AB13" s="32"/>
      <c r="AC13" s="32"/>
      <c r="AD13" s="32"/>
      <c r="AE13" s="32"/>
    </row>
    <row r="14" ht="15.6" spans="1:31">
      <c r="A14" s="41">
        <f>数据表!H15</f>
        <v>10</v>
      </c>
      <c r="B14" s="42" t="s">
        <v>239</v>
      </c>
      <c r="C14" s="43">
        <v>2.5</v>
      </c>
      <c r="D14" s="44"/>
      <c r="E14" s="45">
        <f>D29*D10</f>
        <v>1926.8</v>
      </c>
      <c r="F14" s="39">
        <v>13</v>
      </c>
      <c r="G14" s="40" t="str">
        <f>VLOOKUP(13,数据表!A1:B26,2,0)</f>
        <v>金数据收集4h</v>
      </c>
      <c r="H14" s="40">
        <f>VLOOKUP(G14,B2:E27,4,0)</f>
        <v>361</v>
      </c>
      <c r="I14" s="78">
        <f t="shared" si="12"/>
        <v>19905.67</v>
      </c>
      <c r="J14" s="78">
        <f t="shared" si="1"/>
        <v>0.018135536256755</v>
      </c>
      <c r="K14" s="78">
        <f t="shared" si="2"/>
        <v>0.00604517875225166</v>
      </c>
      <c r="L14" s="78">
        <f t="shared" si="3"/>
        <v>0.935164291791298</v>
      </c>
      <c r="M14" s="78">
        <f t="shared" si="4"/>
        <v>0.064835708208702</v>
      </c>
      <c r="N14" s="78">
        <f t="shared" si="5"/>
        <v>0.100829760185589</v>
      </c>
      <c r="O14" s="78">
        <f t="shared" si="6"/>
        <v>0.00699061006448822</v>
      </c>
      <c r="P14" s="40">
        <f t="shared" si="13"/>
        <v>0.882308444266452</v>
      </c>
      <c r="Q14" s="40">
        <f>VLOOKUP(13,A2:C27,3,0)+'倾向-优先级表'!D12/60</f>
        <v>4.25</v>
      </c>
      <c r="R14" s="40">
        <f t="shared" si="7"/>
        <v>0.0297100927740749</v>
      </c>
      <c r="S14" s="40">
        <f t="shared" si="14"/>
        <v>6.82453603577596</v>
      </c>
      <c r="T14" s="40">
        <f t="shared" si="15"/>
        <v>11</v>
      </c>
      <c r="U14" s="40">
        <f t="shared" si="16"/>
        <v>0.228675703976161</v>
      </c>
      <c r="V14" s="40">
        <f t="shared" si="8"/>
        <v>0</v>
      </c>
      <c r="W14" s="103">
        <f t="shared" si="9"/>
        <v>0.00159858267771968</v>
      </c>
      <c r="X14" s="54">
        <f>VLOOKUP(G14,G33:L58,6,0)</f>
        <v>6375</v>
      </c>
      <c r="Y14" s="32">
        <f>VLOOKUP(G14,G33:L58,4,0)</f>
        <v>6050.18181818182</v>
      </c>
      <c r="Z14" s="32">
        <f t="shared" si="10"/>
        <v>44.5651391611124</v>
      </c>
      <c r="AA14" s="55">
        <f t="shared" si="11"/>
        <v>42.2944619101654</v>
      </c>
      <c r="AB14" s="32"/>
      <c r="AC14" s="32"/>
      <c r="AD14" s="32"/>
      <c r="AE14" s="32"/>
    </row>
    <row r="15" ht="15.6" spans="1:31">
      <c r="A15" s="41">
        <f>数据表!H16</f>
        <v>17</v>
      </c>
      <c r="B15" s="42" t="s">
        <v>240</v>
      </c>
      <c r="C15" s="43">
        <v>5</v>
      </c>
      <c r="D15" s="44"/>
      <c r="E15" s="45">
        <f>D29*D11</f>
        <v>1214.4</v>
      </c>
      <c r="F15" s="39">
        <v>14</v>
      </c>
      <c r="G15" s="40" t="str">
        <f>VLOOKUP(14,数据表!A1:B26,2,0)</f>
        <v>试验品募集2h蓝</v>
      </c>
      <c r="H15" s="40">
        <f>VLOOKUP(G15,B2:E27,4,0)</f>
        <v>709</v>
      </c>
      <c r="I15" s="78">
        <f t="shared" si="12"/>
        <v>19544.67</v>
      </c>
      <c r="J15" s="78">
        <f t="shared" si="1"/>
        <v>0.0362758747013892</v>
      </c>
      <c r="K15" s="78">
        <f t="shared" si="2"/>
        <v>0.0120919582337964</v>
      </c>
      <c r="L15" s="78">
        <f t="shared" si="3"/>
        <v>0.873556972220152</v>
      </c>
      <c r="M15" s="78">
        <f t="shared" si="4"/>
        <v>0.126443027779848</v>
      </c>
      <c r="N15" s="78">
        <f t="shared" si="5"/>
        <v>0.0880805400174071</v>
      </c>
      <c r="O15" s="78">
        <f t="shared" si="6"/>
        <v>0.0127492201681819</v>
      </c>
      <c r="P15" s="40">
        <f t="shared" si="13"/>
        <v>0.882308444266452</v>
      </c>
      <c r="Q15" s="40">
        <f>VLOOKUP(14,A2:C27,3,0)+'倾向-优先级表'!D12/60</f>
        <v>2.25</v>
      </c>
      <c r="R15" s="40">
        <f t="shared" si="7"/>
        <v>0.0286857453784092</v>
      </c>
      <c r="S15" s="40">
        <f t="shared" si="14"/>
        <v>6.82453603577596</v>
      </c>
      <c r="T15" s="40">
        <f t="shared" si="15"/>
        <v>11</v>
      </c>
      <c r="U15" s="40">
        <f t="shared" si="16"/>
        <v>0.228675703976161</v>
      </c>
      <c r="V15" s="40">
        <f t="shared" si="8"/>
        <v>0</v>
      </c>
      <c r="W15" s="103">
        <f t="shared" si="9"/>
        <v>0.00291543689710606</v>
      </c>
      <c r="X15" s="54">
        <f>VLOOKUP(G15,G33:L58,6,0)</f>
        <v>3375</v>
      </c>
      <c r="Y15" s="32">
        <f>VLOOKUP(G15,G33:L58,4,0)</f>
        <v>1853.67272727273</v>
      </c>
      <c r="Z15" s="32">
        <f t="shared" si="10"/>
        <v>43.0286180676138</v>
      </c>
      <c r="AA15" s="55">
        <f t="shared" si="11"/>
        <v>23.6328817197542</v>
      </c>
      <c r="AB15" s="32"/>
      <c r="AC15" s="32"/>
      <c r="AD15" s="32"/>
      <c r="AE15" s="32"/>
    </row>
    <row r="16" ht="15.6" spans="1:31">
      <c r="A16" s="41">
        <f>数据表!H17</f>
        <v>20</v>
      </c>
      <c r="B16" s="42" t="s">
        <v>241</v>
      </c>
      <c r="C16" s="43">
        <v>8</v>
      </c>
      <c r="D16" s="44"/>
      <c r="E16" s="45">
        <f>D29*D12</f>
        <v>286.4</v>
      </c>
      <c r="F16" s="39">
        <v>15</v>
      </c>
      <c r="G16" s="40" t="str">
        <f>VLOOKUP(15,数据表!A1:B26,2,0)</f>
        <v>资金募集2.5h</v>
      </c>
      <c r="H16" s="40">
        <f>VLOOKUP(G16,B2:E27,4,0)</f>
        <v>2346</v>
      </c>
      <c r="I16" s="78">
        <f t="shared" si="12"/>
        <v>18835.67</v>
      </c>
      <c r="J16" s="78">
        <f t="shared" si="1"/>
        <v>0.124550918549752</v>
      </c>
      <c r="K16" s="78">
        <f t="shared" si="2"/>
        <v>0.0415169728499172</v>
      </c>
      <c r="L16" s="78">
        <f t="shared" si="3"/>
        <v>0.616398435432951</v>
      </c>
      <c r="M16" s="78">
        <f t="shared" si="4"/>
        <v>0.383601564567049</v>
      </c>
      <c r="N16" s="78">
        <f t="shared" si="5"/>
        <v>0.0542927070588191</v>
      </c>
      <c r="O16" s="78">
        <f t="shared" si="6"/>
        <v>0.0337878329585879</v>
      </c>
      <c r="P16" s="40">
        <f t="shared" si="13"/>
        <v>0.882308444266452</v>
      </c>
      <c r="Q16" s="40">
        <f>VLOOKUP(15,A2:C27,3,0)+'倾向-优先级表'!D12/60</f>
        <v>2.75</v>
      </c>
      <c r="R16" s="40">
        <f t="shared" si="7"/>
        <v>0.0929165406361169</v>
      </c>
      <c r="S16" s="40">
        <f t="shared" si="14"/>
        <v>6.82453603577596</v>
      </c>
      <c r="T16" s="40">
        <f t="shared" si="15"/>
        <v>11</v>
      </c>
      <c r="U16" s="40">
        <f t="shared" si="16"/>
        <v>0.228675703976161</v>
      </c>
      <c r="V16" s="40">
        <f t="shared" si="8"/>
        <v>0</v>
      </c>
      <c r="W16" s="103">
        <f t="shared" si="9"/>
        <v>0.00772645648763403</v>
      </c>
      <c r="X16" s="54">
        <f>VLOOKUP(G16,G33:L58,6,0)</f>
        <v>4125</v>
      </c>
      <c r="Y16" s="32">
        <f>VLOOKUP(G16,G33:L58,4,0)</f>
        <v>2848.09090909091</v>
      </c>
      <c r="Z16" s="32">
        <f t="shared" si="10"/>
        <v>139.374810954175</v>
      </c>
      <c r="AA16" s="55">
        <f t="shared" si="11"/>
        <v>96.2308198872366</v>
      </c>
      <c r="AB16" s="32"/>
      <c r="AC16" s="32"/>
      <c r="AD16" s="32"/>
      <c r="AE16" s="32"/>
    </row>
    <row r="17" ht="15.6" spans="1:31">
      <c r="A17" s="41">
        <f>数据表!H18</f>
        <v>2</v>
      </c>
      <c r="B17" s="42" t="s">
        <v>243</v>
      </c>
      <c r="C17" s="43">
        <v>0.5</v>
      </c>
      <c r="D17" s="44"/>
      <c r="E17" s="45">
        <f>D29*D13</f>
        <v>51.6</v>
      </c>
      <c r="F17" s="39">
        <v>16</v>
      </c>
      <c r="G17" s="40" t="str">
        <f>VLOOKUP(16,数据表!A1:B26,2,0)</f>
        <v>魔方解析1h</v>
      </c>
      <c r="H17" s="40">
        <f>VLOOKUP(G17,B2:E27,4,0)</f>
        <v>3995</v>
      </c>
      <c r="I17" s="78">
        <f t="shared" si="12"/>
        <v>16489.67</v>
      </c>
      <c r="J17" s="78">
        <f t="shared" si="1"/>
        <v>0.242272889633328</v>
      </c>
      <c r="K17" s="78">
        <f t="shared" si="2"/>
        <v>0.080757629877776</v>
      </c>
      <c r="L17" s="78">
        <f t="shared" si="3"/>
        <v>0.367619504638333</v>
      </c>
      <c r="M17" s="78">
        <f t="shared" si="4"/>
        <v>0.632380495361667</v>
      </c>
      <c r="N17" s="78">
        <f t="shared" si="5"/>
        <v>0.0199590580744372</v>
      </c>
      <c r="O17" s="78">
        <f t="shared" si="6"/>
        <v>0.0343336489843819</v>
      </c>
      <c r="P17" s="40">
        <f t="shared" si="13"/>
        <v>0.882308444266452</v>
      </c>
      <c r="Q17" s="40">
        <f>VLOOKUP(16,A2:C27,3,0)+'倾向-优先级表'!D12/60</f>
        <v>1.25</v>
      </c>
      <c r="R17" s="40">
        <f t="shared" si="7"/>
        <v>0.0429170612304774</v>
      </c>
      <c r="S17" s="40">
        <f t="shared" si="14"/>
        <v>6.82453603577596</v>
      </c>
      <c r="T17" s="40">
        <f t="shared" si="15"/>
        <v>11</v>
      </c>
      <c r="U17" s="40">
        <f t="shared" si="16"/>
        <v>0.228675703976161</v>
      </c>
      <c r="V17" s="40">
        <f t="shared" si="8"/>
        <v>0</v>
      </c>
      <c r="W17" s="103">
        <f t="shared" si="9"/>
        <v>0.00785127135157393</v>
      </c>
      <c r="X17" s="54">
        <f>VLOOKUP(G17,G33:L58,6,0)</f>
        <v>4875</v>
      </c>
      <c r="Y17" s="32">
        <f>VLOOKUP(G17,G33:L58,4,0)</f>
        <v>3196.14545454545</v>
      </c>
      <c r="Z17" s="32">
        <f t="shared" si="10"/>
        <v>167.376538798862</v>
      </c>
      <c r="AA17" s="55">
        <f t="shared" si="11"/>
        <v>109.735336139391</v>
      </c>
      <c r="AB17" s="32"/>
      <c r="AC17" s="32"/>
      <c r="AD17" s="32"/>
      <c r="AE17" s="32"/>
    </row>
    <row r="18" ht="15.6" spans="1:31">
      <c r="A18" s="41">
        <f>数据表!H19</f>
        <v>9</v>
      </c>
      <c r="B18" s="42" t="s">
        <v>244</v>
      </c>
      <c r="C18" s="43">
        <v>1.5</v>
      </c>
      <c r="D18" s="44">
        <v>3436</v>
      </c>
      <c r="E18" s="45">
        <f t="shared" ref="E18:E27" si="17">D18</f>
        <v>3436</v>
      </c>
      <c r="F18" s="39">
        <v>17</v>
      </c>
      <c r="G18" s="40" t="str">
        <f>VLOOKUP(17,数据表!A1:B26,2,0)</f>
        <v>彩船定向5h</v>
      </c>
      <c r="H18" s="40">
        <f>VLOOKUP(G18,B2:E27,4,0)</f>
        <v>1214.4</v>
      </c>
      <c r="I18" s="78">
        <f t="shared" si="12"/>
        <v>12494.67</v>
      </c>
      <c r="J18" s="78">
        <f t="shared" si="1"/>
        <v>0.0971934432842164</v>
      </c>
      <c r="K18" s="78">
        <f t="shared" si="2"/>
        <v>0.0323978144280721</v>
      </c>
      <c r="L18" s="78">
        <f t="shared" si="3"/>
        <v>0.688934279921501</v>
      </c>
      <c r="M18" s="78">
        <f t="shared" si="4"/>
        <v>0.311065720078499</v>
      </c>
      <c r="N18" s="78">
        <f t="shared" si="5"/>
        <v>0.0137504793024238</v>
      </c>
      <c r="O18" s="78">
        <f t="shared" si="6"/>
        <v>0.00620857877201339</v>
      </c>
      <c r="P18" s="40">
        <f t="shared" si="13"/>
        <v>0.882308444266452</v>
      </c>
      <c r="Q18" s="40">
        <f>VLOOKUP(17,A2:C27,3,0)+'倾向-优先级表'!D12/60</f>
        <v>5.25</v>
      </c>
      <c r="R18" s="40">
        <f t="shared" si="7"/>
        <v>0.0325950385530703</v>
      </c>
      <c r="S18" s="40">
        <f t="shared" si="14"/>
        <v>6.82453603577596</v>
      </c>
      <c r="T18" s="40">
        <f t="shared" si="15"/>
        <v>11</v>
      </c>
      <c r="U18" s="40">
        <f t="shared" si="16"/>
        <v>0.228675703976161</v>
      </c>
      <c r="V18" s="40">
        <f t="shared" si="8"/>
        <v>0</v>
      </c>
      <c r="W18" s="103">
        <f t="shared" si="9"/>
        <v>0.00141975112138161</v>
      </c>
      <c r="X18" s="54">
        <f>VLOOKUP(G18,G33:L58,6,0)</f>
        <v>7875</v>
      </c>
      <c r="Y18" s="32">
        <f>VLOOKUP(G18,G33:L58,4,0)</f>
        <v>5857.09090909091</v>
      </c>
      <c r="Z18" s="32">
        <f t="shared" si="10"/>
        <v>48.8925578296054</v>
      </c>
      <c r="AA18" s="55">
        <f t="shared" si="11"/>
        <v>36.3642102839344</v>
      </c>
      <c r="AB18" s="32"/>
      <c r="AC18" s="32"/>
      <c r="AD18" s="32"/>
      <c r="AE18" s="32"/>
    </row>
    <row r="19" ht="15.6" spans="1:31">
      <c r="A19" s="41">
        <f>数据表!H20</f>
        <v>15</v>
      </c>
      <c r="B19" s="46" t="s">
        <v>245</v>
      </c>
      <c r="C19" s="43">
        <v>2.5</v>
      </c>
      <c r="D19" s="44">
        <v>2346</v>
      </c>
      <c r="E19" s="45">
        <f t="shared" si="17"/>
        <v>2346</v>
      </c>
      <c r="F19" s="39">
        <v>18</v>
      </c>
      <c r="G19" s="40" t="str">
        <f>VLOOKUP(18,数据表!A1:B26,2,0)</f>
        <v>研究委托3h</v>
      </c>
      <c r="H19" s="40">
        <f>VLOOKUP(G19,B2:E27,4,0)</f>
        <v>769</v>
      </c>
      <c r="I19" s="78">
        <f t="shared" si="12"/>
        <v>11280.27</v>
      </c>
      <c r="J19" s="78">
        <f t="shared" si="1"/>
        <v>0.0681721270856105</v>
      </c>
      <c r="K19" s="78">
        <f t="shared" si="2"/>
        <v>0.0227240423618702</v>
      </c>
      <c r="L19" s="78">
        <f t="shared" si="3"/>
        <v>0.772754459775877</v>
      </c>
      <c r="M19" s="78">
        <f t="shared" si="4"/>
        <v>0.227245540224123</v>
      </c>
      <c r="N19" s="78">
        <f t="shared" si="5"/>
        <v>0.0106257442050039</v>
      </c>
      <c r="O19" s="78">
        <f t="shared" si="6"/>
        <v>0.00312473509741993</v>
      </c>
      <c r="P19" s="40">
        <f t="shared" si="13"/>
        <v>0.882308444266452</v>
      </c>
      <c r="Q19" s="40">
        <f>VLOOKUP(18,A2:C27,3,0)+'倾向-优先级表'!D12/60</f>
        <v>3.25</v>
      </c>
      <c r="R19" s="40">
        <f t="shared" si="7"/>
        <v>0.0101553890666148</v>
      </c>
      <c r="S19" s="40">
        <f t="shared" si="14"/>
        <v>6.82453603577596</v>
      </c>
      <c r="T19" s="40">
        <f t="shared" si="15"/>
        <v>11</v>
      </c>
      <c r="U19" s="40">
        <f t="shared" si="16"/>
        <v>0.228675703976161</v>
      </c>
      <c r="V19" s="40">
        <f t="shared" si="8"/>
        <v>0</v>
      </c>
      <c r="W19" s="103">
        <f t="shared" si="9"/>
        <v>0.00071455099814152</v>
      </c>
      <c r="X19" s="54">
        <f>VLOOKUP(G19,G33:L58,6,0)</f>
        <v>4875</v>
      </c>
      <c r="Y19" s="32">
        <f>VLOOKUP(G19,G33:L58,4,0)</f>
        <v>1699.2</v>
      </c>
      <c r="Z19" s="32">
        <f t="shared" si="10"/>
        <v>15.2330835999222</v>
      </c>
      <c r="AA19" s="55">
        <f t="shared" si="11"/>
        <v>5.30954987753595</v>
      </c>
      <c r="AB19" s="32"/>
      <c r="AC19" s="32"/>
      <c r="AD19" s="32"/>
      <c r="AE19" s="32"/>
    </row>
    <row r="20" ht="15.6" spans="1:31">
      <c r="A20" s="41">
        <f>数据表!H21</f>
        <v>8</v>
      </c>
      <c r="B20" s="42" t="s">
        <v>246</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0.00532991952681213</v>
      </c>
      <c r="O20" s="78">
        <f t="shared" si="6"/>
        <v>0.00529582467819177</v>
      </c>
      <c r="P20" s="40">
        <f t="shared" si="13"/>
        <v>0.882308444266452</v>
      </c>
      <c r="Q20" s="40">
        <f>VLOOKUP(19,A2:C27,3,0)+'倾向-优先级表'!D12/60</f>
        <v>5.25</v>
      </c>
      <c r="R20" s="40">
        <f t="shared" si="7"/>
        <v>0.0278030795605068</v>
      </c>
      <c r="S20" s="40">
        <f t="shared" si="14"/>
        <v>6.82453603577596</v>
      </c>
      <c r="T20" s="40">
        <f t="shared" si="15"/>
        <v>11</v>
      </c>
      <c r="U20" s="40">
        <f t="shared" si="16"/>
        <v>0.228675703976161</v>
      </c>
      <c r="V20" s="40">
        <f t="shared" si="8"/>
        <v>0</v>
      </c>
      <c r="W20" s="103">
        <f t="shared" si="9"/>
        <v>0.00121102643641983</v>
      </c>
      <c r="X20" s="54">
        <f>VLOOKUP(G20,G33:L58,6,0)</f>
        <v>7875</v>
      </c>
      <c r="Y20" s="32">
        <f>VLOOKUP(G20,G33:L58,4,0)</f>
        <v>4988.18181818182</v>
      </c>
      <c r="Z20" s="32">
        <f t="shared" si="10"/>
        <v>41.7046193407602</v>
      </c>
      <c r="AA20" s="55">
        <f t="shared" si="11"/>
        <v>26.4165363720348</v>
      </c>
      <c r="AB20" s="32"/>
      <c r="AC20" s="32"/>
      <c r="AD20" s="32"/>
      <c r="AE20" s="32"/>
    </row>
    <row r="21" ht="15.6" spans="1:31">
      <c r="A21" s="41">
        <f>数据表!H22</f>
        <v>14</v>
      </c>
      <c r="B21" s="42" t="s">
        <v>248</v>
      </c>
      <c r="C21" s="43">
        <v>2</v>
      </c>
      <c r="D21" s="44">
        <v>709</v>
      </c>
      <c r="E21" s="45">
        <f t="shared" si="17"/>
        <v>709</v>
      </c>
      <c r="F21" s="39">
        <v>20</v>
      </c>
      <c r="G21" s="40" t="str">
        <f>VLOOKUP(20,数据表!A1:B26,2,0)</f>
        <v>彩船定向8h</v>
      </c>
      <c r="H21" s="40">
        <f>VLOOKUP(G21,B2:E27,4,0)</f>
        <v>286.4</v>
      </c>
      <c r="I21" s="78">
        <f t="shared" si="12"/>
        <v>8689.67</v>
      </c>
      <c r="J21" s="78">
        <f t="shared" si="1"/>
        <v>0.0329586739197231</v>
      </c>
      <c r="K21" s="78">
        <f t="shared" si="2"/>
        <v>0.0109862246399077</v>
      </c>
      <c r="L21" s="78">
        <f t="shared" si="3"/>
        <v>0.884585432173638</v>
      </c>
      <c r="M21" s="78">
        <f t="shared" si="4"/>
        <v>0.115414567826362</v>
      </c>
      <c r="N21" s="78">
        <f t="shared" si="5"/>
        <v>0.00471476916807582</v>
      </c>
      <c r="O21" s="78">
        <f t="shared" si="6"/>
        <v>0.000615150358736307</v>
      </c>
      <c r="P21" s="40">
        <f t="shared" si="13"/>
        <v>0.882308444266452</v>
      </c>
      <c r="Q21" s="40">
        <f>VLOOKUP(20,A2:C27,3,0)+'倾向-优先级表'!D12/60</f>
        <v>8.25</v>
      </c>
      <c r="R21" s="40">
        <f t="shared" si="7"/>
        <v>0.00507499045957454</v>
      </c>
      <c r="S21" s="40">
        <f t="shared" si="14"/>
        <v>6.82453603577596</v>
      </c>
      <c r="T21" s="40">
        <f t="shared" si="15"/>
        <v>11</v>
      </c>
      <c r="U21" s="40">
        <f t="shared" si="16"/>
        <v>0.228675703976161</v>
      </c>
      <c r="V21" s="40">
        <f t="shared" si="8"/>
        <v>0</v>
      </c>
      <c r="W21" s="103">
        <f t="shared" si="9"/>
        <v>0.000140669941335213</v>
      </c>
      <c r="X21" s="54">
        <f>VLOOKUP(G21,G33:L58,6,0)</f>
        <v>12375</v>
      </c>
      <c r="Y21" s="32">
        <f>VLOOKUP(G21,G33:L58,4,0)</f>
        <v>9783.27272727273</v>
      </c>
      <c r="Z21" s="32">
        <f t="shared" si="10"/>
        <v>7.6124856893618</v>
      </c>
      <c r="AA21" s="55">
        <f t="shared" si="11"/>
        <v>6.01818372779695</v>
      </c>
      <c r="AB21" s="32"/>
      <c r="AC21" s="32"/>
      <c r="AD21" s="32"/>
      <c r="AE21" s="32"/>
    </row>
    <row r="22" ht="15.6" spans="1:31">
      <c r="A22" s="41">
        <f>数据表!H23</f>
        <v>12</v>
      </c>
      <c r="B22" s="42" t="s">
        <v>249</v>
      </c>
      <c r="C22" s="43">
        <v>2</v>
      </c>
      <c r="D22" s="44">
        <v>482</v>
      </c>
      <c r="E22" s="45">
        <f t="shared" si="17"/>
        <v>482</v>
      </c>
      <c r="F22" s="39">
        <v>21</v>
      </c>
      <c r="G22" s="40" t="str">
        <f>VLOOKUP(21,数据表!A1:B26,2,0)</f>
        <v>魔方解析2h</v>
      </c>
      <c r="H22" s="40">
        <f>VLOOKUP(G22,B2:E27,4,0)</f>
        <v>2649</v>
      </c>
      <c r="I22" s="78">
        <f t="shared" si="12"/>
        <v>8403.27</v>
      </c>
      <c r="J22" s="78">
        <f t="shared" si="1"/>
        <v>0.315234426598217</v>
      </c>
      <c r="K22" s="78">
        <f t="shared" si="2"/>
        <v>0.105078142199406</v>
      </c>
      <c r="L22" s="78">
        <f t="shared" si="3"/>
        <v>0.25715559939193</v>
      </c>
      <c r="M22" s="78">
        <f t="shared" si="4"/>
        <v>0.74284440060807</v>
      </c>
      <c r="N22" s="78">
        <f t="shared" si="5"/>
        <v>0.00121242929141113</v>
      </c>
      <c r="O22" s="78">
        <f t="shared" si="6"/>
        <v>0.00350233987666469</v>
      </c>
      <c r="P22" s="40">
        <f t="shared" si="13"/>
        <v>0.882308444266452</v>
      </c>
      <c r="Q22" s="40">
        <f>VLOOKUP(21,A2:C27,3,0)+'倾向-优先级表'!D12/60</f>
        <v>2.25</v>
      </c>
      <c r="R22" s="40">
        <f t="shared" si="7"/>
        <v>0.00788026472249556</v>
      </c>
      <c r="S22" s="40">
        <f t="shared" si="14"/>
        <v>6.82453603577596</v>
      </c>
      <c r="T22" s="40">
        <f t="shared" si="15"/>
        <v>11</v>
      </c>
      <c r="U22" s="40">
        <f t="shared" si="16"/>
        <v>0.228675703976161</v>
      </c>
      <c r="V22" s="40">
        <f t="shared" si="8"/>
        <v>0</v>
      </c>
      <c r="W22" s="103">
        <f t="shared" si="9"/>
        <v>0.000800900036860079</v>
      </c>
      <c r="X22" s="54">
        <f>VLOOKUP(G22,G33:L58,6,0)</f>
        <v>9375</v>
      </c>
      <c r="Y22" s="32">
        <f>VLOOKUP(G22,G33:L58,4,0)</f>
        <v>4637.14909090909</v>
      </c>
      <c r="Z22" s="32">
        <f t="shared" si="10"/>
        <v>32.8344363437315</v>
      </c>
      <c r="AA22" s="55">
        <f t="shared" si="11"/>
        <v>16.2408721751303</v>
      </c>
      <c r="AB22" s="32"/>
      <c r="AC22" s="32"/>
      <c r="AD22" s="32"/>
      <c r="AE22" s="32"/>
    </row>
    <row r="23" ht="15.6" spans="1:31">
      <c r="A23" s="41">
        <f>数据表!H24</f>
        <v>13</v>
      </c>
      <c r="B23" s="42" t="s">
        <v>250</v>
      </c>
      <c r="C23" s="43">
        <v>4</v>
      </c>
      <c r="D23" s="44">
        <v>361</v>
      </c>
      <c r="E23" s="45">
        <f t="shared" si="17"/>
        <v>361</v>
      </c>
      <c r="F23" s="39">
        <v>22</v>
      </c>
      <c r="G23" s="40" t="str">
        <f>VLOOKUP(22,数据表!A1:B26,2,0)</f>
        <v>金船定向8h</v>
      </c>
      <c r="H23" s="40">
        <f>VLOOKUP(G23,B2:E27,4,0)</f>
        <v>429.6</v>
      </c>
      <c r="I23" s="78">
        <f t="shared" si="12"/>
        <v>5754.27</v>
      </c>
      <c r="J23" s="78">
        <f t="shared" si="1"/>
        <v>0.0746576020937495</v>
      </c>
      <c r="K23" s="78">
        <f t="shared" si="2"/>
        <v>0.0248858673645832</v>
      </c>
      <c r="L23" s="78">
        <f t="shared" si="3"/>
        <v>0.753387284290167</v>
      </c>
      <c r="M23" s="78">
        <f t="shared" si="4"/>
        <v>0.246612715709833</v>
      </c>
      <c r="N23" s="78">
        <f t="shared" si="5"/>
        <v>0.00091342881125008</v>
      </c>
      <c r="O23" s="78">
        <f t="shared" si="6"/>
        <v>0.000299000480161046</v>
      </c>
      <c r="P23" s="40">
        <f t="shared" si="13"/>
        <v>0.882308444266452</v>
      </c>
      <c r="Q23" s="40">
        <f>VLOOKUP(22,A2:C27,3,0)+'倾向-优先级表'!D12/60</f>
        <v>8.25</v>
      </c>
      <c r="R23" s="40">
        <f t="shared" si="7"/>
        <v>0.00246675396132863</v>
      </c>
      <c r="S23" s="40">
        <f t="shared" si="14"/>
        <v>6.82453603577596</v>
      </c>
      <c r="T23" s="40">
        <f t="shared" si="15"/>
        <v>11</v>
      </c>
      <c r="U23" s="40">
        <f t="shared" si="16"/>
        <v>0.228675703976161</v>
      </c>
      <c r="V23" s="40">
        <f t="shared" si="8"/>
        <v>0</v>
      </c>
      <c r="W23" s="103">
        <f t="shared" si="9"/>
        <v>6.83741452900373e-5</v>
      </c>
      <c r="X23" s="54">
        <f>VLOOKUP(G23,G33:L58,6,0)</f>
        <v>12375</v>
      </c>
      <c r="Y23" s="32">
        <f>VLOOKUP(G23,G33:L58,4,0)</f>
        <v>8393.01818181818</v>
      </c>
      <c r="Z23" s="32">
        <f t="shared" si="10"/>
        <v>3.70013094199295</v>
      </c>
      <c r="AA23" s="55">
        <f t="shared" si="11"/>
        <v>2.50951646636403</v>
      </c>
      <c r="AB23" s="32"/>
      <c r="AC23" s="32"/>
      <c r="AD23" s="32"/>
      <c r="AE23" s="32"/>
    </row>
    <row r="24" ht="15.6" spans="1:31">
      <c r="A24" s="41">
        <f>数据表!H25</f>
        <v>23</v>
      </c>
      <c r="B24" s="42" t="s">
        <v>252</v>
      </c>
      <c r="C24" s="43">
        <v>6</v>
      </c>
      <c r="D24" s="44">
        <v>1757</v>
      </c>
      <c r="E24" s="45">
        <f t="shared" si="17"/>
        <v>1757</v>
      </c>
      <c r="F24" s="39">
        <v>23</v>
      </c>
      <c r="G24" s="40" t="str">
        <f>VLOOKUP(23,数据表!A1:B26,2,0)</f>
        <v>基础研究6h</v>
      </c>
      <c r="H24" s="40">
        <f>VLOOKUP(G24,B2:E27,4,0)</f>
        <v>1757</v>
      </c>
      <c r="I24" s="78">
        <f t="shared" si="12"/>
        <v>5324.67</v>
      </c>
      <c r="J24" s="78">
        <f t="shared" si="1"/>
        <v>0.329973500705208</v>
      </c>
      <c r="K24" s="78">
        <f t="shared" si="2"/>
        <v>0.109991166901736</v>
      </c>
      <c r="L24" s="78">
        <f t="shared" si="3"/>
        <v>0.238267370229763</v>
      </c>
      <c r="M24" s="78">
        <f t="shared" si="4"/>
        <v>0.761732629770237</v>
      </c>
      <c r="N24" s="78">
        <f t="shared" si="5"/>
        <v>0.000217640280748655</v>
      </c>
      <c r="O24" s="78">
        <f t="shared" si="6"/>
        <v>0.000695788530501425</v>
      </c>
      <c r="P24" s="40">
        <f t="shared" si="13"/>
        <v>0.882308444266452</v>
      </c>
      <c r="Q24" s="40">
        <f>VLOOKUP(23,A2:C27,3,0)+'倾向-优先级表'!D12/60</f>
        <v>6.25</v>
      </c>
      <c r="R24" s="40">
        <f t="shared" si="7"/>
        <v>0.00434867831563391</v>
      </c>
      <c r="S24" s="40">
        <f t="shared" si="14"/>
        <v>6.82453603577596</v>
      </c>
      <c r="T24" s="40">
        <f t="shared" si="15"/>
        <v>11</v>
      </c>
      <c r="U24" s="40">
        <f t="shared" si="16"/>
        <v>0.228675703976161</v>
      </c>
      <c r="V24" s="40">
        <f t="shared" si="8"/>
        <v>0</v>
      </c>
      <c r="W24" s="103">
        <f t="shared" si="9"/>
        <v>0.000159109932030952</v>
      </c>
      <c r="X24" s="54">
        <f>VLOOKUP(G24,G33:L58,6,0)</f>
        <v>9375</v>
      </c>
      <c r="Y24" s="32">
        <f>VLOOKUP(G24,G33:L58,4,0)</f>
        <v>3707.34545454545</v>
      </c>
      <c r="Z24" s="32">
        <f t="shared" si="10"/>
        <v>6.52301747345086</v>
      </c>
      <c r="AA24" s="55">
        <f t="shared" si="11"/>
        <v>2.57952844587932</v>
      </c>
      <c r="AB24" s="32"/>
      <c r="AC24" s="32"/>
      <c r="AD24" s="32"/>
      <c r="AE24" s="32"/>
    </row>
    <row r="25" ht="15.6" spans="1:31">
      <c r="A25" s="41">
        <f>数据表!H26</f>
        <v>24</v>
      </c>
      <c r="B25" s="42" t="s">
        <v>253</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4.69664903378971e-5</v>
      </c>
      <c r="O25" s="78">
        <f t="shared" si="6"/>
        <v>0.000170673790410758</v>
      </c>
      <c r="P25" s="40">
        <f t="shared" si="13"/>
        <v>0.882308444266452</v>
      </c>
      <c r="Q25" s="40">
        <f>VLOOKUP(24,A2:C27,3,0)+'倾向-优先级表'!D12/60</f>
        <v>8.25</v>
      </c>
      <c r="R25" s="40">
        <f t="shared" si="7"/>
        <v>0.00140805877088875</v>
      </c>
      <c r="S25" s="40">
        <f t="shared" si="14"/>
        <v>6.82453603577596</v>
      </c>
      <c r="T25" s="40">
        <f t="shared" si="15"/>
        <v>11</v>
      </c>
      <c r="U25" s="40">
        <f t="shared" si="16"/>
        <v>0.228675703976161</v>
      </c>
      <c r="V25" s="40">
        <f t="shared" si="8"/>
        <v>0</v>
      </c>
      <c r="W25" s="103">
        <f t="shared" si="9"/>
        <v>3.90289491724598e-5</v>
      </c>
      <c r="X25" s="54">
        <f>VLOOKUP(G25,G33:L58,6,0)</f>
        <v>12375</v>
      </c>
      <c r="Y25" s="32">
        <f>VLOOKUP(G25,G33:L58,4,0)</f>
        <v>4994.61818181818</v>
      </c>
      <c r="Z25" s="32">
        <f t="shared" si="10"/>
        <v>2.11208815633313</v>
      </c>
      <c r="AA25" s="55">
        <f t="shared" si="11"/>
        <v>0.852450416745397</v>
      </c>
      <c r="AB25" s="32"/>
      <c r="AC25" s="32"/>
      <c r="AD25" s="32"/>
      <c r="AE25" s="32"/>
    </row>
    <row r="26" ht="15.6" spans="1:31">
      <c r="A26" s="41">
        <f>数据表!H27</f>
        <v>26</v>
      </c>
      <c r="B26" s="42" t="s">
        <v>255</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1.63103631262906e-5</v>
      </c>
      <c r="O26" s="78">
        <f t="shared" si="6"/>
        <v>3.06561272116065e-5</v>
      </c>
      <c r="P26" s="40">
        <f t="shared" si="13"/>
        <v>0.882308444266452</v>
      </c>
      <c r="Q26" s="40">
        <f>VLOOKUP(25,A2:C27,3,0)+'倾向-优先级表'!D12/60</f>
        <v>4.25</v>
      </c>
      <c r="R26" s="40">
        <f t="shared" si="7"/>
        <v>0.000130288540649328</v>
      </c>
      <c r="S26" s="40">
        <f t="shared" si="14"/>
        <v>6.82453603577596</v>
      </c>
      <c r="T26" s="40">
        <f t="shared" si="15"/>
        <v>11</v>
      </c>
      <c r="U26" s="40">
        <f t="shared" si="16"/>
        <v>0.228675703976161</v>
      </c>
      <c r="V26" s="40">
        <f t="shared" si="8"/>
        <v>0</v>
      </c>
      <c r="W26" s="103">
        <f t="shared" si="9"/>
        <v>7.01031147129686e-6</v>
      </c>
      <c r="X26" s="54">
        <f>VLOOKUP(G26,G33:L58,6,0)</f>
        <v>16375</v>
      </c>
      <c r="Y26" s="32">
        <f>VLOOKUP(G26,G33:L58,4,0)</f>
        <v>6184.66909090909</v>
      </c>
      <c r="Z26" s="32">
        <f t="shared" si="10"/>
        <v>0.501994083090056</v>
      </c>
      <c r="AA26" s="55">
        <f t="shared" si="11"/>
        <v>0.1895980024126</v>
      </c>
      <c r="AB26" s="32"/>
      <c r="AC26" s="32"/>
      <c r="AD26" s="32"/>
      <c r="AE26" s="32"/>
    </row>
    <row r="27" ht="16.35" spans="1:31">
      <c r="A27" s="47">
        <f>数据表!H28</f>
        <v>18</v>
      </c>
      <c r="B27" s="48" t="s">
        <v>257</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5.49048674455072e-6</v>
      </c>
      <c r="O27" s="79">
        <f t="shared" si="6"/>
        <v>1.08198763817398e-5</v>
      </c>
      <c r="P27" s="53">
        <f t="shared" si="13"/>
        <v>0.882308444266452</v>
      </c>
      <c r="Q27" s="53">
        <f>VLOOKUP(26,A2:C27,3,0)+'倾向-优先级表'!D12/60</f>
        <v>12.25</v>
      </c>
      <c r="R27" s="53">
        <f t="shared" si="7"/>
        <v>0.000132543485676313</v>
      </c>
      <c r="S27" s="53">
        <f t="shared" si="14"/>
        <v>6.82453603577596</v>
      </c>
      <c r="T27" s="53">
        <f t="shared" si="15"/>
        <v>11</v>
      </c>
      <c r="U27" s="53">
        <f t="shared" si="16"/>
        <v>0.228675703976161</v>
      </c>
      <c r="V27" s="53">
        <f t="shared" si="8"/>
        <v>0</v>
      </c>
      <c r="W27" s="104">
        <f t="shared" si="9"/>
        <v>2.4742428485294e-6</v>
      </c>
      <c r="X27" s="56">
        <f>VLOOKUP(G27,G33:L58,6,0)</f>
        <v>18375</v>
      </c>
      <c r="Y27" s="57">
        <f>VLOOKUP(G27,G33:L58,4,0)</f>
        <v>6410.61818181818</v>
      </c>
      <c r="Z27" s="57">
        <f t="shared" si="10"/>
        <v>0.19881522851447</v>
      </c>
      <c r="AA27" s="112">
        <f t="shared" si="11"/>
        <v>0.0693620962578066</v>
      </c>
      <c r="AB27" s="32"/>
      <c r="AC27" s="32"/>
      <c r="AD27" s="32"/>
      <c r="AE27" s="32"/>
    </row>
    <row r="28" spans="1:31">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2.33942185428253</v>
      </c>
      <c r="S28" s="106" t="s">
        <v>316</v>
      </c>
      <c r="T28" s="106">
        <f>P27^R29</f>
        <v>0.425485440766025</v>
      </c>
      <c r="U28" s="106" t="s">
        <v>317</v>
      </c>
      <c r="V28" s="107">
        <f>IF((T29+T28-1)&gt;1,1,(T29+T28-1))</f>
        <v>0.228675703976161</v>
      </c>
      <c r="W28" s="32"/>
      <c r="X28" s="32"/>
      <c r="Y28" s="32"/>
      <c r="Z28" s="32">
        <f>SUM(Z2:Z27)</f>
        <v>3703.68789580798</v>
      </c>
      <c r="AA28" s="32">
        <f>SUM(AA2:AA27)</f>
        <v>5093.65366576978</v>
      </c>
      <c r="AB28" s="32">
        <f>100*AA28/Z28</f>
        <v>137.529235968696</v>
      </c>
      <c r="AC28" s="32"/>
      <c r="AD28" s="32"/>
      <c r="AE28" s="32"/>
    </row>
    <row r="29" ht="15.15" spans="1:31">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f>(24-夜晚模拟!R28)/R28</f>
        <v>6.82453603577596</v>
      </c>
      <c r="S29" s="57" t="s">
        <v>320</v>
      </c>
      <c r="T29" s="57">
        <f>R29*(1-P2)</f>
        <v>0.803190263210136</v>
      </c>
      <c r="U29" s="100"/>
      <c r="V29" s="101"/>
      <c r="W29" s="32"/>
      <c r="X29" s="32"/>
      <c r="Y29" s="32"/>
      <c r="Z29" s="32"/>
      <c r="AA29" s="32"/>
      <c r="AB29" s="32"/>
      <c r="AC29" s="32"/>
      <c r="AD29" s="32"/>
      <c r="AE29" s="32"/>
    </row>
    <row r="30" ht="15.15" spans="1:31">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c r="AE31" s="32"/>
    </row>
    <row r="32" ht="16.35" spans="1:30">
      <c r="A32" s="32"/>
      <c r="B32" s="32"/>
      <c r="C32" s="32"/>
      <c r="D32" s="32"/>
      <c r="E32" s="32"/>
      <c r="F32" s="32"/>
      <c r="G32" s="117" t="s">
        <v>215</v>
      </c>
      <c r="H32" s="118" t="s">
        <v>216</v>
      </c>
      <c r="I32" s="121"/>
      <c r="J32" s="121"/>
      <c r="K32" s="121"/>
      <c r="L32" s="122"/>
      <c r="M32" s="88"/>
      <c r="N32" s="117" t="s">
        <v>69</v>
      </c>
      <c r="O32" s="118" t="s">
        <v>74</v>
      </c>
      <c r="P32" s="118" t="s">
        <v>89</v>
      </c>
      <c r="Q32" s="135" t="s">
        <v>330</v>
      </c>
      <c r="R32" s="87" t="s">
        <v>113</v>
      </c>
      <c r="S32" s="118" t="s">
        <v>69</v>
      </c>
      <c r="T32" s="118" t="s">
        <v>74</v>
      </c>
      <c r="U32" s="118" t="s">
        <v>89</v>
      </c>
      <c r="V32" s="87" t="s">
        <v>330</v>
      </c>
      <c r="W32" s="87" t="s">
        <v>113</v>
      </c>
      <c r="X32" s="87"/>
      <c r="Y32" s="87"/>
      <c r="Z32" s="118" t="s">
        <v>112</v>
      </c>
      <c r="AA32" s="118" t="s">
        <v>111</v>
      </c>
      <c r="AB32" s="87" t="s">
        <v>112</v>
      </c>
      <c r="AC32" s="137" t="s">
        <v>111</v>
      </c>
      <c r="AD32" s="32"/>
    </row>
    <row r="33" ht="15.6" spans="1:29">
      <c r="A33" s="32"/>
      <c r="B33" s="32"/>
      <c r="C33" s="32"/>
      <c r="D33" s="32"/>
      <c r="E33" s="32"/>
      <c r="F33" s="32"/>
      <c r="G33" s="33" t="s">
        <v>208</v>
      </c>
      <c r="H33" s="36">
        <v>1</v>
      </c>
      <c r="I33" s="34">
        <f>VLOOKUP(G33,G2:W27,17,0)</f>
        <v>0.00785127135157393</v>
      </c>
      <c r="J33" s="34">
        <f>数据表!T3</f>
        <v>3196.14545454545</v>
      </c>
      <c r="K33" s="34">
        <f t="shared" ref="K33:K58" si="18">J33*I33</f>
        <v>25.0938052427359</v>
      </c>
      <c r="L33" s="34">
        <f>数据表!R3</f>
        <v>4875</v>
      </c>
      <c r="M33" s="64">
        <f t="shared" ref="M33:M58" si="19">I33*L33</f>
        <v>38.2749478389229</v>
      </c>
      <c r="N33" s="123">
        <v>2.8</v>
      </c>
      <c r="O33" s="124">
        <v>0.71</v>
      </c>
      <c r="P33" s="125">
        <v>0</v>
      </c>
      <c r="Q33" s="34">
        <v>0</v>
      </c>
      <c r="R33" s="34">
        <f>数据表!P3*H33</f>
        <v>40</v>
      </c>
      <c r="S33" s="34">
        <f>N33*I33*H33</f>
        <v>0.021983559784407</v>
      </c>
      <c r="T33" s="34">
        <f t="shared" ref="T33:T58" si="20">O33*I33*H33</f>
        <v>0.00557440265961749</v>
      </c>
      <c r="U33" s="34">
        <f t="shared" ref="U33:U58" si="21">P33*I33*H33</f>
        <v>0</v>
      </c>
      <c r="V33" s="34">
        <f>I33*Q33</f>
        <v>0</v>
      </c>
      <c r="W33" s="34">
        <f>R33*I33</f>
        <v>0.314050854062957</v>
      </c>
      <c r="X33" s="34">
        <f>数据表!G3+数据表!F32</f>
        <v>1.25</v>
      </c>
      <c r="Y33" s="34">
        <f t="shared" ref="Y33:Y58" si="22">I33*X33</f>
        <v>0.00981408918946742</v>
      </c>
      <c r="Z33" s="138">
        <v>0</v>
      </c>
      <c r="AA33" s="138">
        <v>3</v>
      </c>
      <c r="AB33" s="34">
        <f t="shared" ref="AB33:AB58" si="23">Z33*I33</f>
        <v>0</v>
      </c>
      <c r="AC33" s="102">
        <f t="shared" ref="AC33:AC58" si="24">AA33*I33</f>
        <v>0.0235538140547218</v>
      </c>
    </row>
    <row r="34" ht="15.6" spans="1:29">
      <c r="A34" s="32"/>
      <c r="B34" s="32"/>
      <c r="C34" s="32"/>
      <c r="D34" s="32"/>
      <c r="E34" s="32"/>
      <c r="F34" s="32"/>
      <c r="G34" s="41" t="s">
        <v>214</v>
      </c>
      <c r="H34" s="43">
        <v>2</v>
      </c>
      <c r="I34" s="40">
        <f>VLOOKUP(G34,G2:W27,17,0)</f>
        <v>0.000800900036860079</v>
      </c>
      <c r="J34" s="40">
        <f>数据表!T4</f>
        <v>4637.14909090909</v>
      </c>
      <c r="K34" s="40">
        <f t="shared" si="18"/>
        <v>3.71389287783477</v>
      </c>
      <c r="L34" s="40">
        <f>数据表!R4</f>
        <v>9375</v>
      </c>
      <c r="M34" s="65">
        <f t="shared" si="19"/>
        <v>7.50843784556324</v>
      </c>
      <c r="N34" s="84">
        <v>1.96</v>
      </c>
      <c r="O34" s="85">
        <v>0.54</v>
      </c>
      <c r="P34" s="86">
        <v>0</v>
      </c>
      <c r="Q34" s="40">
        <v>0</v>
      </c>
      <c r="R34" s="40">
        <f>数据表!P4*H34</f>
        <v>60.32</v>
      </c>
      <c r="S34" s="40">
        <f t="shared" ref="S33:S58" si="25">N34*I34*H34</f>
        <v>0.00313952814449151</v>
      </c>
      <c r="T34" s="40">
        <f t="shared" si="20"/>
        <v>0.000864972039808885</v>
      </c>
      <c r="U34" s="40">
        <f t="shared" si="21"/>
        <v>0</v>
      </c>
      <c r="V34" s="40">
        <f t="shared" ref="V34:V58" si="26">I34*Q34</f>
        <v>0</v>
      </c>
      <c r="W34" s="40">
        <f t="shared" ref="W34:W58" si="27">R34*I34</f>
        <v>0.0483102902234</v>
      </c>
      <c r="X34" s="40">
        <f>数据表!G4+数据表!F32</f>
        <v>2.25</v>
      </c>
      <c r="Y34" s="40">
        <f t="shared" si="22"/>
        <v>0.00180202508293518</v>
      </c>
      <c r="Z34" s="115">
        <v>0</v>
      </c>
      <c r="AA34" s="115">
        <v>6</v>
      </c>
      <c r="AB34" s="40">
        <f t="shared" si="23"/>
        <v>0</v>
      </c>
      <c r="AC34" s="103">
        <f t="shared" si="24"/>
        <v>0.00480540022116047</v>
      </c>
    </row>
    <row r="35" ht="15.6" spans="1:29">
      <c r="A35" s="32"/>
      <c r="B35" s="32"/>
      <c r="C35" s="32"/>
      <c r="D35" s="32"/>
      <c r="E35" s="32"/>
      <c r="F35" s="32"/>
      <c r="G35" s="41" t="s">
        <v>225</v>
      </c>
      <c r="H35" s="43">
        <v>4</v>
      </c>
      <c r="I35" s="40">
        <f>VLOOKUP(G35,G2:W27,17,0)</f>
        <v>7.01031147129686e-6</v>
      </c>
      <c r="J35" s="40">
        <f>数据表!T5</f>
        <v>6184.66909090909</v>
      </c>
      <c r="K35" s="40">
        <f t="shared" si="18"/>
        <v>0.0433564566741751</v>
      </c>
      <c r="L35" s="40">
        <f>数据表!R5</f>
        <v>16375</v>
      </c>
      <c r="M35" s="65">
        <f t="shared" si="19"/>
        <v>0.114793850342486</v>
      </c>
      <c r="N35" s="84">
        <v>1.395</v>
      </c>
      <c r="O35" s="85">
        <v>0.31</v>
      </c>
      <c r="P35" s="86">
        <v>0</v>
      </c>
      <c r="Q35" s="40">
        <v>0</v>
      </c>
      <c r="R35" s="40">
        <f>数据表!P5*H35</f>
        <v>83.08</v>
      </c>
      <c r="S35" s="40">
        <f t="shared" si="25"/>
        <v>3.91175380098365e-5</v>
      </c>
      <c r="T35" s="40">
        <f t="shared" si="20"/>
        <v>8.6927862244081e-6</v>
      </c>
      <c r="U35" s="40">
        <f t="shared" si="21"/>
        <v>0</v>
      </c>
      <c r="V35" s="40">
        <f t="shared" si="26"/>
        <v>0</v>
      </c>
      <c r="W35" s="40">
        <f t="shared" si="27"/>
        <v>0.000582416677035343</v>
      </c>
      <c r="X35" s="40">
        <f>数据表!G5+数据表!F32</f>
        <v>4.25</v>
      </c>
      <c r="Y35" s="40">
        <f t="shared" si="22"/>
        <v>2.97938237530116e-5</v>
      </c>
      <c r="Z35" s="115">
        <v>0</v>
      </c>
      <c r="AA35" s="115">
        <v>10</v>
      </c>
      <c r="AB35" s="40">
        <f t="shared" si="23"/>
        <v>0</v>
      </c>
      <c r="AC35" s="103">
        <f t="shared" si="24"/>
        <v>7.01031147129686e-5</v>
      </c>
    </row>
    <row r="36" ht="16.35" spans="1:29">
      <c r="A36" s="32"/>
      <c r="B36" s="32"/>
      <c r="C36" s="32"/>
      <c r="D36" s="32"/>
      <c r="E36" s="32"/>
      <c r="F36" s="32"/>
      <c r="G36" s="47" t="s">
        <v>227</v>
      </c>
      <c r="H36" s="49">
        <v>0.5</v>
      </c>
      <c r="I36" s="53">
        <f>VLOOKUP(G36,G2:W27,17,0)</f>
        <v>0.00296629687714859</v>
      </c>
      <c r="J36" s="53">
        <f>数据表!T6</f>
        <v>5582.28545454545</v>
      </c>
      <c r="K36" s="53">
        <f t="shared" si="18"/>
        <v>16.5587159111701</v>
      </c>
      <c r="L36" s="53">
        <f>数据表!R6</f>
        <v>4125</v>
      </c>
      <c r="M36" s="126">
        <f t="shared" si="19"/>
        <v>12.2359746182379</v>
      </c>
      <c r="N36" s="91">
        <v>9.78</v>
      </c>
      <c r="O36" s="92">
        <v>1.97</v>
      </c>
      <c r="P36" s="93">
        <v>0</v>
      </c>
      <c r="Q36" s="53">
        <v>0</v>
      </c>
      <c r="R36" s="53">
        <f>数据表!P6*H36</f>
        <v>97.245</v>
      </c>
      <c r="S36" s="53">
        <f t="shared" si="25"/>
        <v>0.0145051917292566</v>
      </c>
      <c r="T36" s="53">
        <f t="shared" si="20"/>
        <v>0.00292180242399136</v>
      </c>
      <c r="U36" s="53">
        <f t="shared" si="21"/>
        <v>0</v>
      </c>
      <c r="V36" s="53">
        <f t="shared" si="26"/>
        <v>0</v>
      </c>
      <c r="W36" s="53">
        <f t="shared" si="27"/>
        <v>0.288457539818314</v>
      </c>
      <c r="X36" s="53">
        <f>数据表!G6+数据表!F32</f>
        <v>0.75</v>
      </c>
      <c r="Y36" s="53">
        <f t="shared" si="22"/>
        <v>0.00222472265786144</v>
      </c>
      <c r="Z36" s="116">
        <v>8000</v>
      </c>
      <c r="AA36" s="116">
        <v>5</v>
      </c>
      <c r="AB36" s="53">
        <f t="shared" si="23"/>
        <v>23.7303750171887</v>
      </c>
      <c r="AC36" s="104">
        <f t="shared" si="24"/>
        <v>0.0148314843857429</v>
      </c>
    </row>
    <row r="37" ht="15.6" spans="1:29">
      <c r="A37" s="32"/>
      <c r="B37" s="32"/>
      <c r="C37" s="32"/>
      <c r="D37" s="32"/>
      <c r="E37" s="32"/>
      <c r="F37" s="32"/>
      <c r="G37" s="119" t="s">
        <v>228</v>
      </c>
      <c r="H37" s="120">
        <v>1</v>
      </c>
      <c r="I37" s="127">
        <f>VLOOKUP(G37,G2:W27,17,0)</f>
        <v>0.244107019069063</v>
      </c>
      <c r="J37" s="127">
        <f>数据表!T7</f>
        <v>2677.52727272727</v>
      </c>
      <c r="K37" s="127">
        <f t="shared" si="18"/>
        <v>653.603201021571</v>
      </c>
      <c r="L37" s="127">
        <f>数据表!R7</f>
        <v>1875</v>
      </c>
      <c r="M37" s="128">
        <f t="shared" si="19"/>
        <v>457.700660754493</v>
      </c>
      <c r="N37" s="129">
        <v>0</v>
      </c>
      <c r="O37" s="130">
        <v>0</v>
      </c>
      <c r="P37" s="131">
        <v>0.052</v>
      </c>
      <c r="Q37" s="127">
        <v>0.44</v>
      </c>
      <c r="R37" s="127">
        <f>数据表!P7*H37</f>
        <v>0</v>
      </c>
      <c r="S37" s="127">
        <f t="shared" si="25"/>
        <v>0</v>
      </c>
      <c r="T37" s="127">
        <f t="shared" si="20"/>
        <v>0</v>
      </c>
      <c r="U37" s="127">
        <f t="shared" si="21"/>
        <v>0.0126935649915913</v>
      </c>
      <c r="V37" s="127">
        <f t="shared" si="26"/>
        <v>0.107407088390388</v>
      </c>
      <c r="W37" s="127">
        <f t="shared" si="27"/>
        <v>0</v>
      </c>
      <c r="X37" s="127">
        <f>数据表!G7+数据表!F32</f>
        <v>1.25</v>
      </c>
      <c r="Y37" s="127">
        <f t="shared" si="22"/>
        <v>0.305133773836328</v>
      </c>
      <c r="Z37" s="139">
        <v>0</v>
      </c>
      <c r="AA37" s="139">
        <v>0</v>
      </c>
      <c r="AB37" s="127">
        <f t="shared" si="23"/>
        <v>0</v>
      </c>
      <c r="AC37" s="140">
        <f t="shared" si="24"/>
        <v>0</v>
      </c>
    </row>
    <row r="38" ht="15.6" spans="1:29">
      <c r="A38" s="32"/>
      <c r="B38" s="32"/>
      <c r="C38" s="32"/>
      <c r="D38" s="32"/>
      <c r="E38" s="32"/>
      <c r="F38" s="32"/>
      <c r="G38" s="41" t="s">
        <v>229</v>
      </c>
      <c r="H38" s="43">
        <v>2</v>
      </c>
      <c r="I38" s="40">
        <f>VLOOKUP(G38,G2:W27,17,0)</f>
        <v>0.147949930876416</v>
      </c>
      <c r="J38" s="40">
        <f>数据表!T8</f>
        <v>4840.14545454545</v>
      </c>
      <c r="K38" s="40">
        <f t="shared" si="18"/>
        <v>716.099185431799</v>
      </c>
      <c r="L38" s="40">
        <f>数据表!R8</f>
        <v>3375</v>
      </c>
      <c r="M38" s="65">
        <f t="shared" si="19"/>
        <v>499.331016707904</v>
      </c>
      <c r="N38" s="84">
        <v>0</v>
      </c>
      <c r="O38" s="85">
        <v>0</v>
      </c>
      <c r="P38" s="86">
        <v>0.047</v>
      </c>
      <c r="Q38" s="40">
        <v>0.79</v>
      </c>
      <c r="R38" s="40">
        <f>数据表!P8*H38</f>
        <v>0</v>
      </c>
      <c r="S38" s="40">
        <f t="shared" si="25"/>
        <v>0</v>
      </c>
      <c r="T38" s="40">
        <f t="shared" si="20"/>
        <v>0</v>
      </c>
      <c r="U38" s="40">
        <f t="shared" si="21"/>
        <v>0.0139072935023831</v>
      </c>
      <c r="V38" s="40">
        <f t="shared" si="26"/>
        <v>0.116880445392369</v>
      </c>
      <c r="W38" s="40">
        <f t="shared" si="27"/>
        <v>0</v>
      </c>
      <c r="X38" s="40">
        <f>数据表!G8+数据表!F32</f>
        <v>2.25</v>
      </c>
      <c r="Y38" s="40">
        <f t="shared" si="22"/>
        <v>0.332887344471936</v>
      </c>
      <c r="Z38" s="115">
        <v>0</v>
      </c>
      <c r="AA38" s="115">
        <v>0</v>
      </c>
      <c r="AB38" s="40">
        <f t="shared" si="23"/>
        <v>0</v>
      </c>
      <c r="AC38" s="103">
        <f t="shared" si="24"/>
        <v>0</v>
      </c>
    </row>
    <row r="39" ht="15.6" spans="1:29">
      <c r="A39" s="32"/>
      <c r="B39" s="32"/>
      <c r="C39" s="32"/>
      <c r="D39" s="32"/>
      <c r="E39" s="32"/>
      <c r="F39" s="32"/>
      <c r="G39" s="41" t="s">
        <v>231</v>
      </c>
      <c r="H39" s="43">
        <v>4</v>
      </c>
      <c r="I39" s="40">
        <f>VLOOKUP(G39,G2:W27,17,0)</f>
        <v>0.0881143418728732</v>
      </c>
      <c r="J39" s="40">
        <f>数据表!T9</f>
        <v>10504.1454545455</v>
      </c>
      <c r="K39" s="40">
        <f t="shared" si="18"/>
        <v>925.56586366421</v>
      </c>
      <c r="L39" s="40">
        <f>数据表!R9</f>
        <v>6375</v>
      </c>
      <c r="M39" s="65">
        <f t="shared" si="19"/>
        <v>561.728929439567</v>
      </c>
      <c r="N39" s="84">
        <v>0</v>
      </c>
      <c r="O39" s="85">
        <v>0</v>
      </c>
      <c r="P39" s="86">
        <v>0.051</v>
      </c>
      <c r="Q39" s="40">
        <v>1.4</v>
      </c>
      <c r="R39" s="40">
        <f>数据表!P9*H39</f>
        <v>0</v>
      </c>
      <c r="S39" s="40">
        <f t="shared" si="25"/>
        <v>0</v>
      </c>
      <c r="T39" s="40">
        <f t="shared" si="20"/>
        <v>0</v>
      </c>
      <c r="U39" s="40">
        <f t="shared" si="21"/>
        <v>0.0179753257420661</v>
      </c>
      <c r="V39" s="40">
        <f t="shared" si="26"/>
        <v>0.123360078622023</v>
      </c>
      <c r="W39" s="40">
        <f t="shared" si="27"/>
        <v>0</v>
      </c>
      <c r="X39" s="40">
        <f>数据表!G9+数据表!F32</f>
        <v>4.25</v>
      </c>
      <c r="Y39" s="40">
        <f t="shared" si="22"/>
        <v>0.374485952959711</v>
      </c>
      <c r="Z39" s="115">
        <v>0</v>
      </c>
      <c r="AA39" s="115">
        <v>0</v>
      </c>
      <c r="AB39" s="40">
        <f t="shared" si="23"/>
        <v>0</v>
      </c>
      <c r="AC39" s="103">
        <f t="shared" si="24"/>
        <v>0</v>
      </c>
    </row>
    <row r="40" ht="16.35" spans="1:29">
      <c r="A40" s="32"/>
      <c r="B40" s="32"/>
      <c r="C40" s="32"/>
      <c r="D40" s="32"/>
      <c r="E40" s="32"/>
      <c r="F40" s="32"/>
      <c r="G40" s="72" t="s">
        <v>233</v>
      </c>
      <c r="H40" s="73">
        <v>0.5</v>
      </c>
      <c r="I40" s="87">
        <f>VLOOKUP(G40,G2:W27,17,0)</f>
        <v>0.04750834207027</v>
      </c>
      <c r="J40" s="87">
        <f>数据表!T10</f>
        <v>21008.2909090909</v>
      </c>
      <c r="K40" s="87">
        <f t="shared" si="18"/>
        <v>998.069070820835</v>
      </c>
      <c r="L40" s="87">
        <f>数据表!R10</f>
        <v>1125</v>
      </c>
      <c r="M40" s="88">
        <f t="shared" si="19"/>
        <v>53.4468848290538</v>
      </c>
      <c r="N40" s="132">
        <v>0</v>
      </c>
      <c r="O40" s="133">
        <v>0</v>
      </c>
      <c r="P40" s="134">
        <v>0.816</v>
      </c>
      <c r="Q40" s="87">
        <v>3.4</v>
      </c>
      <c r="R40" s="87">
        <f>数据表!P10*H40</f>
        <v>0</v>
      </c>
      <c r="S40" s="87">
        <f t="shared" si="25"/>
        <v>0</v>
      </c>
      <c r="T40" s="87">
        <f t="shared" si="20"/>
        <v>0</v>
      </c>
      <c r="U40" s="87">
        <f t="shared" si="21"/>
        <v>0.0193834035646702</v>
      </c>
      <c r="V40" s="87">
        <f t="shared" si="26"/>
        <v>0.161528363038918</v>
      </c>
      <c r="W40" s="87">
        <f t="shared" si="27"/>
        <v>0</v>
      </c>
      <c r="X40" s="87">
        <f>数据表!G10+数据表!F32</f>
        <v>0.75</v>
      </c>
      <c r="Y40" s="87">
        <f t="shared" si="22"/>
        <v>0.0356312565527025</v>
      </c>
      <c r="Z40" s="141">
        <v>5000</v>
      </c>
      <c r="AA40" s="141">
        <v>0</v>
      </c>
      <c r="AB40" s="87">
        <f t="shared" si="23"/>
        <v>237.54171035135</v>
      </c>
      <c r="AC40" s="137">
        <f t="shared" si="24"/>
        <v>0</v>
      </c>
    </row>
    <row r="41" ht="15.6" spans="1:29">
      <c r="A41" s="32"/>
      <c r="B41" s="32"/>
      <c r="C41" s="32"/>
      <c r="D41" s="32"/>
      <c r="E41" s="32"/>
      <c r="F41" s="32"/>
      <c r="G41" s="33" t="s">
        <v>234</v>
      </c>
      <c r="H41" s="36">
        <v>2.5</v>
      </c>
      <c r="I41" s="34">
        <f>VLOOKUP(G41,G2:W27,17,0)</f>
        <v>0.0804401310211374</v>
      </c>
      <c r="J41" s="34">
        <f>数据表!T11</f>
        <v>3282.54545454545</v>
      </c>
      <c r="K41" s="34">
        <f t="shared" si="18"/>
        <v>264.048386446475</v>
      </c>
      <c r="L41" s="34">
        <f>数据表!R11</f>
        <v>4125</v>
      </c>
      <c r="M41" s="64">
        <f t="shared" si="19"/>
        <v>331.815540462192</v>
      </c>
      <c r="N41" s="123">
        <v>0.92</v>
      </c>
      <c r="O41" s="124">
        <v>0</v>
      </c>
      <c r="P41" s="125">
        <v>0.014</v>
      </c>
      <c r="Q41" s="34">
        <v>0.37</v>
      </c>
      <c r="R41" s="34">
        <f>数据表!P11*H41</f>
        <v>0</v>
      </c>
      <c r="S41" s="34">
        <f t="shared" si="25"/>
        <v>0.185012301348616</v>
      </c>
      <c r="T41" s="34">
        <f t="shared" si="20"/>
        <v>0</v>
      </c>
      <c r="U41" s="34">
        <f t="shared" si="21"/>
        <v>0.00281540458573981</v>
      </c>
      <c r="V41" s="34">
        <f t="shared" si="26"/>
        <v>0.0297628484778208</v>
      </c>
      <c r="W41" s="34">
        <f t="shared" si="27"/>
        <v>0</v>
      </c>
      <c r="X41" s="34">
        <f>数据表!G11+数据表!F32</f>
        <v>2.75</v>
      </c>
      <c r="Y41" s="34">
        <f t="shared" si="22"/>
        <v>0.221210360308128</v>
      </c>
      <c r="Z41" s="138">
        <v>3000</v>
      </c>
      <c r="AA41" s="138">
        <v>0</v>
      </c>
      <c r="AB41" s="34">
        <f t="shared" si="23"/>
        <v>241.320393063412</v>
      </c>
      <c r="AC41" s="102">
        <f t="shared" si="24"/>
        <v>0</v>
      </c>
    </row>
    <row r="42" ht="15.6" spans="1:29">
      <c r="A42" s="32"/>
      <c r="B42" s="32"/>
      <c r="C42" s="32"/>
      <c r="D42" s="32"/>
      <c r="E42" s="32"/>
      <c r="F42" s="32"/>
      <c r="G42" s="41" t="s">
        <v>235</v>
      </c>
      <c r="H42" s="43">
        <v>5</v>
      </c>
      <c r="I42" s="40">
        <f>VLOOKUP(G42,G2:W27,17,0)</f>
        <v>0.00121102643641983</v>
      </c>
      <c r="J42" s="40">
        <f>数据表!T12</f>
        <v>4988.18181818182</v>
      </c>
      <c r="K42" s="40">
        <f t="shared" si="18"/>
        <v>6.04082005148691</v>
      </c>
      <c r="L42" s="40">
        <f>数据表!R12</f>
        <v>7875</v>
      </c>
      <c r="M42" s="65">
        <f t="shared" si="19"/>
        <v>9.53683318680615</v>
      </c>
      <c r="N42" s="84">
        <v>0.75</v>
      </c>
      <c r="O42" s="85">
        <v>0</v>
      </c>
      <c r="P42" s="86">
        <v>0.01</v>
      </c>
      <c r="Q42" s="40">
        <v>0.66</v>
      </c>
      <c r="R42" s="40">
        <f>数据表!P12*H42</f>
        <v>0</v>
      </c>
      <c r="S42" s="40">
        <f t="shared" si="25"/>
        <v>0.00454134913657436</v>
      </c>
      <c r="T42" s="40">
        <f t="shared" si="20"/>
        <v>0</v>
      </c>
      <c r="U42" s="40">
        <f t="shared" si="21"/>
        <v>6.05513218209914e-5</v>
      </c>
      <c r="V42" s="40">
        <f t="shared" si="26"/>
        <v>0.000799277448037087</v>
      </c>
      <c r="W42" s="40">
        <f t="shared" si="27"/>
        <v>0</v>
      </c>
      <c r="X42" s="40">
        <f>数据表!G12+数据表!F32</f>
        <v>5.25</v>
      </c>
      <c r="Y42" s="40">
        <f t="shared" si="22"/>
        <v>0.0063578887912041</v>
      </c>
      <c r="Z42" s="115">
        <v>5000</v>
      </c>
      <c r="AA42" s="115">
        <v>0</v>
      </c>
      <c r="AB42" s="40">
        <f t="shared" si="23"/>
        <v>6.05513218209914</v>
      </c>
      <c r="AC42" s="103">
        <f t="shared" si="24"/>
        <v>0</v>
      </c>
    </row>
    <row r="43" ht="15.6" spans="1:29">
      <c r="A43" s="32"/>
      <c r="B43" s="32"/>
      <c r="C43" s="32"/>
      <c r="D43" s="32"/>
      <c r="E43" s="32"/>
      <c r="F43" s="32"/>
      <c r="G43" s="41" t="s">
        <v>236</v>
      </c>
      <c r="H43" s="43">
        <v>8</v>
      </c>
      <c r="I43" s="40">
        <f>VLOOKUP(G43,G2:W27,17,0)</f>
        <v>6.83741452900373e-5</v>
      </c>
      <c r="J43" s="40">
        <f>数据表!T13</f>
        <v>8393.01818181818</v>
      </c>
      <c r="K43" s="40">
        <f t="shared" si="18"/>
        <v>0.573865444585561</v>
      </c>
      <c r="L43" s="40">
        <f>数据表!R13</f>
        <v>12375</v>
      </c>
      <c r="M43" s="65">
        <f t="shared" si="19"/>
        <v>0.846130047964212</v>
      </c>
      <c r="N43" s="84">
        <v>0.75</v>
      </c>
      <c r="O43" s="85">
        <v>0</v>
      </c>
      <c r="P43" s="86">
        <v>0.011</v>
      </c>
      <c r="Q43" s="40">
        <v>0.9</v>
      </c>
      <c r="R43" s="40">
        <f>数据表!P13*H43</f>
        <v>0</v>
      </c>
      <c r="S43" s="40">
        <f t="shared" si="25"/>
        <v>0.000410244871740224</v>
      </c>
      <c r="T43" s="40">
        <f t="shared" si="20"/>
        <v>0</v>
      </c>
      <c r="U43" s="40">
        <f t="shared" si="21"/>
        <v>6.01692478552329e-6</v>
      </c>
      <c r="V43" s="40">
        <f t="shared" si="26"/>
        <v>6.15367307610336e-5</v>
      </c>
      <c r="W43" s="40">
        <f t="shared" si="27"/>
        <v>0</v>
      </c>
      <c r="X43" s="40">
        <f>数据表!G13+数据表!F32</f>
        <v>8.25</v>
      </c>
      <c r="Y43" s="40">
        <f t="shared" si="22"/>
        <v>0.000564086698642808</v>
      </c>
      <c r="Z43" s="115">
        <v>8000</v>
      </c>
      <c r="AA43" s="115">
        <v>0</v>
      </c>
      <c r="AB43" s="40">
        <f t="shared" si="23"/>
        <v>0.546993162320299</v>
      </c>
      <c r="AC43" s="103">
        <f t="shared" si="24"/>
        <v>0</v>
      </c>
    </row>
    <row r="44" ht="16.35" spans="1:29">
      <c r="A44" s="32"/>
      <c r="B44" s="32"/>
      <c r="C44" s="32"/>
      <c r="D44" s="32"/>
      <c r="E44" s="32"/>
      <c r="F44" s="32"/>
      <c r="G44" s="47" t="s">
        <v>238</v>
      </c>
      <c r="H44" s="49">
        <v>0.5</v>
      </c>
      <c r="I44" s="53">
        <f>VLOOKUP(G44,G2:W27,17,0)</f>
        <v>0.0082115028705097</v>
      </c>
      <c r="J44" s="53">
        <f>数据表!T14</f>
        <v>12103.5818181818</v>
      </c>
      <c r="K44" s="53">
        <f t="shared" si="18"/>
        <v>99.3885968434488</v>
      </c>
      <c r="L44" s="53">
        <f>数据表!R14</f>
        <v>6125</v>
      </c>
      <c r="M44" s="126">
        <f t="shared" si="19"/>
        <v>50.2954550818719</v>
      </c>
      <c r="N44" s="91">
        <v>17.61</v>
      </c>
      <c r="O44" s="92">
        <v>0</v>
      </c>
      <c r="P44" s="93">
        <v>0.25</v>
      </c>
      <c r="Q44" s="53">
        <v>1.39</v>
      </c>
      <c r="R44" s="53">
        <f>数据表!P14*H44</f>
        <v>0</v>
      </c>
      <c r="S44" s="53">
        <f t="shared" si="25"/>
        <v>0.0723022827748379</v>
      </c>
      <c r="T44" s="53">
        <f t="shared" si="20"/>
        <v>0</v>
      </c>
      <c r="U44" s="53">
        <f t="shared" si="21"/>
        <v>0.00102643785881371</v>
      </c>
      <c r="V44" s="53">
        <f t="shared" si="26"/>
        <v>0.0114139889900085</v>
      </c>
      <c r="W44" s="53">
        <f t="shared" si="27"/>
        <v>0</v>
      </c>
      <c r="X44" s="53">
        <f>数据表!G14+数据表!F32</f>
        <v>0.75</v>
      </c>
      <c r="Y44" s="53">
        <f t="shared" si="22"/>
        <v>0.00615862715288227</v>
      </c>
      <c r="Z44" s="116">
        <v>5000</v>
      </c>
      <c r="AA44" s="116">
        <v>5</v>
      </c>
      <c r="AB44" s="53">
        <f t="shared" si="23"/>
        <v>41.0575143525485</v>
      </c>
      <c r="AC44" s="104">
        <f t="shared" si="24"/>
        <v>0.0410575143525485</v>
      </c>
    </row>
    <row r="45" ht="15.6" spans="1:29">
      <c r="A45" s="32"/>
      <c r="B45" s="32"/>
      <c r="C45" s="32"/>
      <c r="D45" s="32"/>
      <c r="E45" s="32"/>
      <c r="F45" s="32"/>
      <c r="G45" s="119" t="s">
        <v>239</v>
      </c>
      <c r="H45" s="120">
        <v>2.5</v>
      </c>
      <c r="I45" s="127">
        <f>VLOOKUP(G45,G2:W27,17,0)</f>
        <v>0.0707878334532311</v>
      </c>
      <c r="J45" s="127">
        <f>数据表!T15</f>
        <v>3765.27272727273</v>
      </c>
      <c r="K45" s="127">
        <f t="shared" si="18"/>
        <v>266.535498724175</v>
      </c>
      <c r="L45" s="127">
        <f>数据表!R15</f>
        <v>4125</v>
      </c>
      <c r="M45" s="128">
        <f t="shared" si="19"/>
        <v>291.999812994578</v>
      </c>
      <c r="N45" s="129">
        <v>0</v>
      </c>
      <c r="O45" s="130">
        <v>0.61</v>
      </c>
      <c r="P45" s="131">
        <v>0.014</v>
      </c>
      <c r="Q45" s="127">
        <v>0.39</v>
      </c>
      <c r="R45" s="127">
        <f>数据表!P15*H45</f>
        <v>0</v>
      </c>
      <c r="S45" s="127">
        <f t="shared" si="25"/>
        <v>0</v>
      </c>
      <c r="T45" s="127">
        <f t="shared" si="20"/>
        <v>0.107951446016177</v>
      </c>
      <c r="U45" s="127">
        <f t="shared" si="21"/>
        <v>0.00247757417086309</v>
      </c>
      <c r="V45" s="127">
        <f t="shared" si="26"/>
        <v>0.0276072550467601</v>
      </c>
      <c r="W45" s="127">
        <f t="shared" si="27"/>
        <v>0</v>
      </c>
      <c r="X45" s="127">
        <f>数据表!G15+数据表!F32</f>
        <v>2.75</v>
      </c>
      <c r="Y45" s="127">
        <f t="shared" si="22"/>
        <v>0.194666541996386</v>
      </c>
      <c r="Z45" s="139">
        <v>3000</v>
      </c>
      <c r="AA45" s="139">
        <v>0</v>
      </c>
      <c r="AB45" s="127">
        <f t="shared" si="23"/>
        <v>212.363500359693</v>
      </c>
      <c r="AC45" s="140">
        <f t="shared" si="24"/>
        <v>0</v>
      </c>
    </row>
    <row r="46" ht="15.6" spans="1:29">
      <c r="A46" s="32"/>
      <c r="B46" s="32"/>
      <c r="C46" s="32"/>
      <c r="D46" s="32"/>
      <c r="E46" s="32"/>
      <c r="F46" s="32"/>
      <c r="G46" s="41" t="s">
        <v>240</v>
      </c>
      <c r="H46" s="43">
        <v>5</v>
      </c>
      <c r="I46" s="40">
        <f>VLOOKUP(G46,G2:W27,17,0)</f>
        <v>0.00141975112138161</v>
      </c>
      <c r="J46" s="40">
        <f>数据表!T16</f>
        <v>5857.09090909091</v>
      </c>
      <c r="K46" s="40">
        <f t="shared" si="18"/>
        <v>8.31561138621585</v>
      </c>
      <c r="L46" s="40">
        <f>数据表!R16</f>
        <v>7875</v>
      </c>
      <c r="M46" s="65">
        <f t="shared" si="19"/>
        <v>11.1805400808802</v>
      </c>
      <c r="N46" s="84">
        <v>0</v>
      </c>
      <c r="O46" s="85">
        <v>0.51</v>
      </c>
      <c r="P46" s="86">
        <v>0.01</v>
      </c>
      <c r="Q46" s="40">
        <v>0.55</v>
      </c>
      <c r="R46" s="40">
        <f>数据表!P16*H46</f>
        <v>0</v>
      </c>
      <c r="S46" s="40">
        <f t="shared" si="25"/>
        <v>0</v>
      </c>
      <c r="T46" s="40">
        <f t="shared" si="20"/>
        <v>0.0036203653595231</v>
      </c>
      <c r="U46" s="40">
        <f t="shared" si="21"/>
        <v>7.09875560690805e-5</v>
      </c>
      <c r="V46" s="40">
        <f t="shared" si="26"/>
        <v>0.000780863116759885</v>
      </c>
      <c r="W46" s="40">
        <f t="shared" si="27"/>
        <v>0</v>
      </c>
      <c r="X46" s="40">
        <f>数据表!G16+数据表!F32</f>
        <v>5.25</v>
      </c>
      <c r="Y46" s="40">
        <f t="shared" si="22"/>
        <v>0.00745369338725345</v>
      </c>
      <c r="Z46" s="115">
        <v>5000</v>
      </c>
      <c r="AA46" s="115">
        <v>0</v>
      </c>
      <c r="AB46" s="40">
        <f t="shared" si="23"/>
        <v>7.09875560690805</v>
      </c>
      <c r="AC46" s="103">
        <f t="shared" si="24"/>
        <v>0</v>
      </c>
    </row>
    <row r="47" ht="15.6" spans="1:29">
      <c r="A47" s="32"/>
      <c r="B47" s="32"/>
      <c r="C47" s="32"/>
      <c r="D47" s="32"/>
      <c r="E47" s="32"/>
      <c r="F47" s="32"/>
      <c r="G47" s="41" t="s">
        <v>241</v>
      </c>
      <c r="H47" s="43">
        <v>8</v>
      </c>
      <c r="I47" s="40">
        <f>VLOOKUP(G47,G2:W27,17,0)</f>
        <v>0.000140669941335213</v>
      </c>
      <c r="J47" s="40">
        <f>数据表!T17</f>
        <v>9783.27272727273</v>
      </c>
      <c r="K47" s="40">
        <f t="shared" si="18"/>
        <v>1.37621240061184</v>
      </c>
      <c r="L47" s="40">
        <f>数据表!R17</f>
        <v>12375</v>
      </c>
      <c r="M47" s="65">
        <f t="shared" si="19"/>
        <v>1.74079052402326</v>
      </c>
      <c r="N47" s="84">
        <v>0</v>
      </c>
      <c r="O47" s="85">
        <v>0.51</v>
      </c>
      <c r="P47" s="86">
        <v>0.011</v>
      </c>
      <c r="Q47" s="40">
        <v>1.05</v>
      </c>
      <c r="R47" s="40">
        <f>数据表!P17*H47</f>
        <v>0</v>
      </c>
      <c r="S47" s="40">
        <f t="shared" si="25"/>
        <v>0</v>
      </c>
      <c r="T47" s="40">
        <f t="shared" si="20"/>
        <v>0.000573933360647669</v>
      </c>
      <c r="U47" s="40">
        <f t="shared" si="21"/>
        <v>1.23789548374987e-5</v>
      </c>
      <c r="V47" s="40">
        <f t="shared" si="26"/>
        <v>0.000147703438401974</v>
      </c>
      <c r="W47" s="40">
        <f t="shared" si="27"/>
        <v>0</v>
      </c>
      <c r="X47" s="40">
        <f>数据表!G17+数据表!F32</f>
        <v>8.25</v>
      </c>
      <c r="Y47" s="40">
        <f t="shared" si="22"/>
        <v>0.00116052701601551</v>
      </c>
      <c r="Z47" s="115">
        <v>8000</v>
      </c>
      <c r="AA47" s="115">
        <v>0</v>
      </c>
      <c r="AB47" s="40">
        <f t="shared" si="23"/>
        <v>1.1253595306817</v>
      </c>
      <c r="AC47" s="103">
        <f t="shared" si="24"/>
        <v>0</v>
      </c>
    </row>
    <row r="48" ht="16.35" spans="1:29">
      <c r="A48" s="32"/>
      <c r="B48" s="32"/>
      <c r="C48" s="32"/>
      <c r="D48" s="32"/>
      <c r="E48" s="32"/>
      <c r="F48" s="32"/>
      <c r="G48" s="72" t="s">
        <v>243</v>
      </c>
      <c r="H48" s="73">
        <v>0.5</v>
      </c>
      <c r="I48" s="87">
        <f>VLOOKUP(G48,G2:W27,17,0)</f>
        <v>0.00550066115911678</v>
      </c>
      <c r="J48" s="87">
        <f>数据表!T18</f>
        <v>14011.9636363636</v>
      </c>
      <c r="K48" s="87">
        <f t="shared" si="18"/>
        <v>77.075064137502</v>
      </c>
      <c r="L48" s="87">
        <f>数据表!R18</f>
        <v>6125</v>
      </c>
      <c r="M48" s="88">
        <f t="shared" si="19"/>
        <v>33.6915495995903</v>
      </c>
      <c r="N48" s="132">
        <v>0</v>
      </c>
      <c r="O48" s="133">
        <v>11.77</v>
      </c>
      <c r="P48" s="134">
        <v>0.25</v>
      </c>
      <c r="Q48" s="87">
        <v>1.38</v>
      </c>
      <c r="R48" s="87">
        <f>数据表!P18*H48</f>
        <v>0</v>
      </c>
      <c r="S48" s="87">
        <f t="shared" si="25"/>
        <v>0</v>
      </c>
      <c r="T48" s="87">
        <f t="shared" si="20"/>
        <v>0.0323713909214023</v>
      </c>
      <c r="U48" s="87">
        <f t="shared" si="21"/>
        <v>0.000687582644889598</v>
      </c>
      <c r="V48" s="87">
        <f t="shared" si="26"/>
        <v>0.00759091239958116</v>
      </c>
      <c r="W48" s="87">
        <f t="shared" si="27"/>
        <v>0</v>
      </c>
      <c r="X48" s="87">
        <f>数据表!G18+数据表!F32</f>
        <v>0.75</v>
      </c>
      <c r="Y48" s="87">
        <f t="shared" si="22"/>
        <v>0.00412549586933759</v>
      </c>
      <c r="Z48" s="141">
        <v>5000</v>
      </c>
      <c r="AA48" s="141">
        <v>5</v>
      </c>
      <c r="AB48" s="87">
        <f t="shared" si="23"/>
        <v>27.5033057955839</v>
      </c>
      <c r="AC48" s="137">
        <f t="shared" si="24"/>
        <v>0.0275033057955839</v>
      </c>
    </row>
    <row r="49" ht="15.6" spans="1:29">
      <c r="A49" s="32"/>
      <c r="B49" s="32"/>
      <c r="C49" s="32"/>
      <c r="D49" s="32"/>
      <c r="E49" s="32"/>
      <c r="F49" s="32"/>
      <c r="G49" s="33" t="s">
        <v>244</v>
      </c>
      <c r="H49" s="36">
        <v>1.5</v>
      </c>
      <c r="I49" s="34">
        <f>VLOOKUP(G49,G2:W27,17,0)</f>
        <v>0.166380890933128</v>
      </c>
      <c r="J49" s="34">
        <f>数据表!T19</f>
        <v>2085.38181818182</v>
      </c>
      <c r="K49" s="34">
        <f t="shared" si="18"/>
        <v>346.967684844837</v>
      </c>
      <c r="L49" s="34">
        <f>数据表!R19</f>
        <v>2625</v>
      </c>
      <c r="M49" s="64">
        <f t="shared" si="19"/>
        <v>436.749838699461</v>
      </c>
      <c r="N49" s="123">
        <v>0.58</v>
      </c>
      <c r="O49" s="124">
        <v>0.15</v>
      </c>
      <c r="P49" s="125">
        <v>0.016</v>
      </c>
      <c r="Q49" s="34">
        <v>0.27</v>
      </c>
      <c r="R49" s="34">
        <f>数据表!P19*H49</f>
        <v>0</v>
      </c>
      <c r="S49" s="34">
        <f t="shared" si="25"/>
        <v>0.144751375111821</v>
      </c>
      <c r="T49" s="34">
        <f t="shared" si="20"/>
        <v>0.0374357004599538</v>
      </c>
      <c r="U49" s="34">
        <f t="shared" si="21"/>
        <v>0.00399314138239507</v>
      </c>
      <c r="V49" s="34">
        <f t="shared" si="26"/>
        <v>0.0449228405519445</v>
      </c>
      <c r="W49" s="34">
        <f t="shared" si="27"/>
        <v>0</v>
      </c>
      <c r="X49" s="34">
        <f>数据表!G19+数据表!F32</f>
        <v>1.75</v>
      </c>
      <c r="Y49" s="34">
        <f t="shared" si="22"/>
        <v>0.291166559132974</v>
      </c>
      <c r="Z49" s="138">
        <v>1500</v>
      </c>
      <c r="AA49" s="138">
        <v>0</v>
      </c>
      <c r="AB49" s="34">
        <f t="shared" si="23"/>
        <v>249.571336399692</v>
      </c>
      <c r="AC49" s="102">
        <f t="shared" si="24"/>
        <v>0</v>
      </c>
    </row>
    <row r="50" ht="16.35" spans="1:29">
      <c r="A50" s="32"/>
      <c r="B50" s="32"/>
      <c r="C50" s="32"/>
      <c r="D50" s="32"/>
      <c r="E50" s="32"/>
      <c r="F50" s="32"/>
      <c r="G50" s="63" t="s">
        <v>245</v>
      </c>
      <c r="H50" s="43">
        <v>2.5</v>
      </c>
      <c r="I50" s="40">
        <f>VLOOKUP(G50,G2:W27,17,0)</f>
        <v>0.00772645648763403</v>
      </c>
      <c r="J50" s="40">
        <f>数据表!T20</f>
        <v>2848.09090909091</v>
      </c>
      <c r="K50" s="40">
        <f t="shared" si="18"/>
        <v>22.005650481917</v>
      </c>
      <c r="L50" s="40">
        <f>数据表!R20</f>
        <v>4125</v>
      </c>
      <c r="M50" s="65">
        <f t="shared" si="19"/>
        <v>31.8716330114904</v>
      </c>
      <c r="N50" s="84">
        <v>0.45</v>
      </c>
      <c r="O50" s="85">
        <v>0.1</v>
      </c>
      <c r="P50" s="86">
        <v>0.014</v>
      </c>
      <c r="Q50" s="40">
        <v>0.39</v>
      </c>
      <c r="R50" s="40">
        <f>数据表!P20*H50</f>
        <v>0</v>
      </c>
      <c r="S50" s="40">
        <f t="shared" si="25"/>
        <v>0.00869226354858828</v>
      </c>
      <c r="T50" s="40">
        <f t="shared" si="20"/>
        <v>0.00193161412190851</v>
      </c>
      <c r="U50" s="40">
        <f t="shared" si="21"/>
        <v>0.000270425977067191</v>
      </c>
      <c r="V50" s="40">
        <f t="shared" si="26"/>
        <v>0.00301331803017727</v>
      </c>
      <c r="W50" s="40">
        <f t="shared" si="27"/>
        <v>0</v>
      </c>
      <c r="X50" s="40">
        <f>数据表!G20+数据表!F32</f>
        <v>2.75</v>
      </c>
      <c r="Y50" s="40">
        <f t="shared" si="22"/>
        <v>0.0212477553409936</v>
      </c>
      <c r="Z50" s="115">
        <v>3000</v>
      </c>
      <c r="AA50" s="115">
        <v>0</v>
      </c>
      <c r="AB50" s="40">
        <f t="shared" si="23"/>
        <v>23.1793694629021</v>
      </c>
      <c r="AC50" s="103">
        <f t="shared" si="24"/>
        <v>0</v>
      </c>
    </row>
    <row r="51" ht="16.35" spans="1:29">
      <c r="A51" s="33"/>
      <c r="B51" s="34" t="s">
        <v>306</v>
      </c>
      <c r="C51" s="34" t="s">
        <v>331</v>
      </c>
      <c r="D51" s="34" t="s">
        <v>89</v>
      </c>
      <c r="E51" s="34" t="s">
        <v>93</v>
      </c>
      <c r="F51" s="64" t="s">
        <v>97</v>
      </c>
      <c r="G51" s="47" t="s">
        <v>246</v>
      </c>
      <c r="H51" s="49">
        <v>4</v>
      </c>
      <c r="I51" s="53">
        <f>VLOOKUP(G51,G2:W27,17,0)</f>
        <v>0.111119850437688</v>
      </c>
      <c r="J51" s="53">
        <f>数据表!T21</f>
        <v>7414.69090909091</v>
      </c>
      <c r="K51" s="53">
        <f t="shared" si="18"/>
        <v>823.919344859865</v>
      </c>
      <c r="L51" s="53">
        <f>数据表!R21</f>
        <v>6375</v>
      </c>
      <c r="M51" s="126">
        <f t="shared" si="19"/>
        <v>708.38904654026</v>
      </c>
      <c r="N51" s="91">
        <v>0.52</v>
      </c>
      <c r="O51" s="92">
        <v>0.14</v>
      </c>
      <c r="P51" s="93">
        <v>0.026</v>
      </c>
      <c r="Q51" s="53">
        <v>1.15</v>
      </c>
      <c r="R51" s="53">
        <f>数据表!P21*H51</f>
        <v>0</v>
      </c>
      <c r="S51" s="53">
        <f t="shared" si="25"/>
        <v>0.231129288910391</v>
      </c>
      <c r="T51" s="53">
        <f t="shared" si="20"/>
        <v>0.0622271162451052</v>
      </c>
      <c r="U51" s="53">
        <f t="shared" si="21"/>
        <v>0.0115564644455195</v>
      </c>
      <c r="V51" s="53">
        <f t="shared" si="26"/>
        <v>0.127787828003341</v>
      </c>
      <c r="W51" s="53">
        <f t="shared" si="27"/>
        <v>0</v>
      </c>
      <c r="X51" s="53">
        <f>数据表!G21+数据表!F32</f>
        <v>4.25</v>
      </c>
      <c r="Y51" s="53">
        <f t="shared" si="22"/>
        <v>0.472259364360173</v>
      </c>
      <c r="Z51" s="116">
        <v>6000</v>
      </c>
      <c r="AA51" s="116">
        <v>0</v>
      </c>
      <c r="AB51" s="53">
        <f t="shared" si="23"/>
        <v>666.719102626127</v>
      </c>
      <c r="AC51" s="104">
        <f t="shared" si="24"/>
        <v>0</v>
      </c>
    </row>
    <row r="52" ht="15.6" spans="1:29">
      <c r="A52" s="41" t="s">
        <v>226</v>
      </c>
      <c r="B52" s="40">
        <f>SUM(Y33:Y36)*R29+夜晚模拟!B52</f>
        <v>0.0988875789592645</v>
      </c>
      <c r="C52" s="40">
        <f>SUM(AC33:AC36)*R29+夜晚模拟!C52</f>
        <v>0.312514486111953</v>
      </c>
      <c r="D52" s="40">
        <v>0</v>
      </c>
      <c r="E52" s="40">
        <f>SUM(T33:T36)</f>
        <v>0.00936986990964214</v>
      </c>
      <c r="F52" s="65">
        <f>SUM(S33:S36)*R29+夜晚模拟!F52</f>
        <v>0.28697956155877</v>
      </c>
      <c r="G52" s="119" t="s">
        <v>248</v>
      </c>
      <c r="H52" s="120">
        <v>2</v>
      </c>
      <c r="I52" s="127">
        <f>VLOOKUP(G52,G2:W27,17,0)</f>
        <v>0.00291543689710606</v>
      </c>
      <c r="J52" s="127">
        <f>数据表!T22</f>
        <v>1853.67272727273</v>
      </c>
      <c r="K52" s="127">
        <f t="shared" si="18"/>
        <v>5.40426586425013</v>
      </c>
      <c r="L52" s="127">
        <f>数据表!R22</f>
        <v>3375</v>
      </c>
      <c r="M52" s="128">
        <f t="shared" si="19"/>
        <v>9.83959952773294</v>
      </c>
      <c r="N52" s="129">
        <v>0</v>
      </c>
      <c r="O52" s="130">
        <v>0</v>
      </c>
      <c r="P52" s="131">
        <v>0.018</v>
      </c>
      <c r="Q52" s="136">
        <v>0.4</v>
      </c>
      <c r="R52" s="127">
        <f>数据表!P22*H52</f>
        <v>0</v>
      </c>
      <c r="S52" s="127">
        <f t="shared" si="25"/>
        <v>0</v>
      </c>
      <c r="T52" s="127">
        <f t="shared" si="20"/>
        <v>0</v>
      </c>
      <c r="U52" s="127">
        <f t="shared" si="21"/>
        <v>0.000104955728295818</v>
      </c>
      <c r="V52" s="127">
        <f t="shared" si="26"/>
        <v>0.00116617475884242</v>
      </c>
      <c r="W52" s="127">
        <f t="shared" si="27"/>
        <v>0</v>
      </c>
      <c r="X52" s="127">
        <f>数据表!G22+数据表!F32</f>
        <v>2.25</v>
      </c>
      <c r="Y52" s="127">
        <f t="shared" si="22"/>
        <v>0.00655973301848863</v>
      </c>
      <c r="Z52" s="139">
        <v>0</v>
      </c>
      <c r="AA52" s="139">
        <v>0</v>
      </c>
      <c r="AB52" s="127">
        <f t="shared" si="23"/>
        <v>0</v>
      </c>
      <c r="AC52" s="140">
        <f t="shared" si="24"/>
        <v>0</v>
      </c>
    </row>
    <row r="53" ht="15.6" spans="1:29">
      <c r="A53" s="41" t="s">
        <v>232</v>
      </c>
      <c r="B53" s="40">
        <f>SUM(Y37:Y40)*R29+夜晚模拟!B53</f>
        <v>7.80382364611452</v>
      </c>
      <c r="C53" s="40">
        <v>0</v>
      </c>
      <c r="D53" s="40">
        <f>SUM(U37:U40)*R29+夜晚模拟!D53</f>
        <v>0.48541060796785</v>
      </c>
      <c r="E53" s="40">
        <v>0</v>
      </c>
      <c r="F53" s="65">
        <v>0</v>
      </c>
      <c r="G53" s="41" t="s">
        <v>249</v>
      </c>
      <c r="H53" s="43">
        <v>2</v>
      </c>
      <c r="I53" s="40">
        <f>VLOOKUP(G53,G2:W27,17,0)</f>
        <v>0.00225730028951203</v>
      </c>
      <c r="J53" s="40">
        <f>数据表!T23</f>
        <v>2162.61818181818</v>
      </c>
      <c r="K53" s="40">
        <f t="shared" si="18"/>
        <v>4.88167864792216</v>
      </c>
      <c r="L53" s="40">
        <f>数据表!R23</f>
        <v>3375</v>
      </c>
      <c r="M53" s="65">
        <f t="shared" si="19"/>
        <v>7.61838847710311</v>
      </c>
      <c r="N53" s="84">
        <v>0</v>
      </c>
      <c r="O53" s="85">
        <v>0</v>
      </c>
      <c r="P53" s="86">
        <v>0.021</v>
      </c>
      <c r="Q53" s="40">
        <v>0.46</v>
      </c>
      <c r="R53" s="40">
        <f>数据表!P23*H53</f>
        <v>0</v>
      </c>
      <c r="S53" s="40">
        <f t="shared" si="25"/>
        <v>0</v>
      </c>
      <c r="T53" s="40">
        <f t="shared" si="20"/>
        <v>0</v>
      </c>
      <c r="U53" s="40">
        <f t="shared" si="21"/>
        <v>9.48066121595053e-5</v>
      </c>
      <c r="V53" s="40">
        <f t="shared" si="26"/>
        <v>0.00103835813317553</v>
      </c>
      <c r="W53" s="40">
        <f t="shared" si="27"/>
        <v>0</v>
      </c>
      <c r="X53" s="40">
        <f>数据表!G23+数据表!F32</f>
        <v>2.25</v>
      </c>
      <c r="Y53" s="40">
        <f t="shared" si="22"/>
        <v>0.00507892565140207</v>
      </c>
      <c r="Z53" s="115">
        <v>0</v>
      </c>
      <c r="AA53" s="115">
        <v>0</v>
      </c>
      <c r="AB53" s="40">
        <f t="shared" si="23"/>
        <v>0</v>
      </c>
      <c r="AC53" s="103">
        <f t="shared" si="24"/>
        <v>0</v>
      </c>
    </row>
    <row r="54" ht="15.6" spans="1:29">
      <c r="A54" s="66" t="s">
        <v>237</v>
      </c>
      <c r="B54" s="67">
        <f>SUM(Y41:Y44)*R29+夜晚模拟!B54</f>
        <v>2.64541719309793</v>
      </c>
      <c r="C54" s="67">
        <f>SUM(AC44)*R29+夜晚模拟!C54</f>
        <v>0.320655569439455</v>
      </c>
      <c r="D54" s="67">
        <f>SUM(U41:U44)*R29+夜晚模拟!D54</f>
        <v>0.0382391212225411</v>
      </c>
      <c r="E54" s="67">
        <v>0</v>
      </c>
      <c r="F54" s="68">
        <f>SUM(S41:S44)*R29+夜晚模拟!F54</f>
        <v>2.61775848875832</v>
      </c>
      <c r="G54" s="41" t="s">
        <v>250</v>
      </c>
      <c r="H54" s="43">
        <v>4</v>
      </c>
      <c r="I54" s="40">
        <f>VLOOKUP(G54,G2:W27,17,0)</f>
        <v>0.00159858267771968</v>
      </c>
      <c r="J54" s="40">
        <f>数据表!T24</f>
        <v>6050.18181818182</v>
      </c>
      <c r="K54" s="40">
        <f t="shared" si="18"/>
        <v>9.67171585160001</v>
      </c>
      <c r="L54" s="40">
        <f>数据表!R24</f>
        <v>6375</v>
      </c>
      <c r="M54" s="65">
        <f t="shared" si="19"/>
        <v>10.1909645704629</v>
      </c>
      <c r="N54" s="84">
        <v>0.33</v>
      </c>
      <c r="O54" s="85">
        <v>0.09</v>
      </c>
      <c r="P54" s="86">
        <v>0.023</v>
      </c>
      <c r="Q54" s="40">
        <v>1</v>
      </c>
      <c r="R54" s="40">
        <f>数据表!P24*H54</f>
        <v>0</v>
      </c>
      <c r="S54" s="40">
        <f t="shared" si="25"/>
        <v>0.00211012913458998</v>
      </c>
      <c r="T54" s="40">
        <f t="shared" si="20"/>
        <v>0.000575489763979084</v>
      </c>
      <c r="U54" s="40">
        <f t="shared" si="21"/>
        <v>0.00014706960635021</v>
      </c>
      <c r="V54" s="40">
        <f t="shared" si="26"/>
        <v>0.00159858267771968</v>
      </c>
      <c r="W54" s="40">
        <f t="shared" si="27"/>
        <v>0</v>
      </c>
      <c r="X54" s="40">
        <f>数据表!G24+数据表!F32</f>
        <v>4.25</v>
      </c>
      <c r="Y54" s="40">
        <f t="shared" si="22"/>
        <v>0.00679397638030863</v>
      </c>
      <c r="Z54" s="115">
        <v>0</v>
      </c>
      <c r="AA54" s="115">
        <v>0</v>
      </c>
      <c r="AB54" s="40">
        <f t="shared" si="23"/>
        <v>0</v>
      </c>
      <c r="AC54" s="103">
        <f t="shared" si="24"/>
        <v>0</v>
      </c>
    </row>
    <row r="55" ht="15.6" spans="1:29">
      <c r="A55" s="66" t="s">
        <v>242</v>
      </c>
      <c r="B55" s="67">
        <f>SUM(Y45:Y48)*R29+夜晚模拟!B55</f>
        <v>2.42264311355693</v>
      </c>
      <c r="C55" s="67">
        <f>SUM(AC48)*R29+夜晚模拟!C55</f>
        <v>0.217229328642089</v>
      </c>
      <c r="D55" s="67">
        <f>SUM(U45:U48)*R29+夜晚模拟!D55</f>
        <v>0.0335070315156572</v>
      </c>
      <c r="E55" s="67">
        <f>SUM(T45:T48)</f>
        <v>0.14451713565775</v>
      </c>
      <c r="F55" s="68">
        <v>0</v>
      </c>
      <c r="G55" s="41" t="s">
        <v>252</v>
      </c>
      <c r="H55" s="43">
        <v>6</v>
      </c>
      <c r="I55" s="40">
        <f>VLOOKUP(G55,G2:W27,17,0)</f>
        <v>0.000159109932030952</v>
      </c>
      <c r="J55" s="40">
        <f>数据表!T25</f>
        <v>3707.34545454545</v>
      </c>
      <c r="K55" s="40">
        <f t="shared" si="18"/>
        <v>0.589875483287985</v>
      </c>
      <c r="L55" s="40">
        <f>数据表!R25</f>
        <v>9375</v>
      </c>
      <c r="M55" s="65">
        <f t="shared" si="19"/>
        <v>1.49165561279017</v>
      </c>
      <c r="N55" s="84">
        <v>0</v>
      </c>
      <c r="O55" s="85">
        <v>0</v>
      </c>
      <c r="P55" s="86">
        <v>0.012</v>
      </c>
      <c r="Q55" s="40">
        <v>0.81</v>
      </c>
      <c r="R55" s="40">
        <f>数据表!P25*H55</f>
        <v>0</v>
      </c>
      <c r="S55" s="40">
        <f t="shared" si="25"/>
        <v>0</v>
      </c>
      <c r="T55" s="40">
        <f t="shared" si="20"/>
        <v>0</v>
      </c>
      <c r="U55" s="40">
        <f t="shared" si="21"/>
        <v>1.14559151062285e-5</v>
      </c>
      <c r="V55" s="40">
        <f t="shared" si="26"/>
        <v>0.000128879044945071</v>
      </c>
      <c r="W55" s="40">
        <f t="shared" si="27"/>
        <v>0</v>
      </c>
      <c r="X55" s="40">
        <f>数据表!G25+数据表!F32</f>
        <v>6.25</v>
      </c>
      <c r="Y55" s="40">
        <f t="shared" si="22"/>
        <v>0.000994437075193449</v>
      </c>
      <c r="Z55" s="115">
        <v>0</v>
      </c>
      <c r="AA55" s="115">
        <v>0</v>
      </c>
      <c r="AB55" s="40">
        <f t="shared" si="23"/>
        <v>0</v>
      </c>
      <c r="AC55" s="103">
        <f t="shared" si="24"/>
        <v>0</v>
      </c>
    </row>
    <row r="56" ht="15.6" spans="1:29">
      <c r="A56" s="66" t="s">
        <v>247</v>
      </c>
      <c r="B56" s="67">
        <f>SUM(Y49:Y51)*R29+夜晚模拟!B56</f>
        <v>6.11997834938605</v>
      </c>
      <c r="C56" s="67">
        <v>0</v>
      </c>
      <c r="D56" s="67">
        <f>SUM(U49:U51)*R29+夜晚模拟!E56</f>
        <v>0.207136282413221</v>
      </c>
      <c r="E56" s="67">
        <f>SUM(T49:T51)</f>
        <v>0.101594430826967</v>
      </c>
      <c r="F56" s="68">
        <f>SUM(S49:S51)*R29+夜晚模拟!F56</f>
        <v>2.99587671147493</v>
      </c>
      <c r="G56" s="41" t="s">
        <v>253</v>
      </c>
      <c r="H56" s="43">
        <v>8</v>
      </c>
      <c r="I56" s="40">
        <f>VLOOKUP(G56,G2:W27,17,0)</f>
        <v>3.90289491724598e-5</v>
      </c>
      <c r="J56" s="40">
        <f>数据表!T26</f>
        <v>4994.61818181818</v>
      </c>
      <c r="K56" s="40">
        <f t="shared" si="18"/>
        <v>0.194934699154025</v>
      </c>
      <c r="L56" s="40">
        <f>数据表!R26</f>
        <v>12375</v>
      </c>
      <c r="M56" s="65">
        <f t="shared" si="19"/>
        <v>0.48298324600919</v>
      </c>
      <c r="N56" s="84">
        <v>0.07</v>
      </c>
      <c r="O56" s="85">
        <v>0.01</v>
      </c>
      <c r="P56" s="86">
        <v>0.011</v>
      </c>
      <c r="Q56" s="40">
        <v>0.98</v>
      </c>
      <c r="R56" s="40">
        <f>数据表!P26*H56</f>
        <v>0</v>
      </c>
      <c r="S56" s="40">
        <f t="shared" si="25"/>
        <v>2.18562115365775e-5</v>
      </c>
      <c r="T56" s="40">
        <f t="shared" si="20"/>
        <v>3.12231593379679e-6</v>
      </c>
      <c r="U56" s="40">
        <f t="shared" si="21"/>
        <v>3.43454752717646e-6</v>
      </c>
      <c r="V56" s="40">
        <f t="shared" si="26"/>
        <v>3.82483701890106e-5</v>
      </c>
      <c r="W56" s="40">
        <f t="shared" si="27"/>
        <v>0</v>
      </c>
      <c r="X56" s="40">
        <f>数据表!G26+数据表!F32</f>
        <v>8.25</v>
      </c>
      <c r="Y56" s="40">
        <f t="shared" si="22"/>
        <v>0.000321988830672794</v>
      </c>
      <c r="Z56" s="115">
        <v>0</v>
      </c>
      <c r="AA56" s="115">
        <v>0</v>
      </c>
      <c r="AB56" s="40">
        <f t="shared" si="23"/>
        <v>0</v>
      </c>
      <c r="AC56" s="103">
        <f t="shared" si="24"/>
        <v>0</v>
      </c>
    </row>
    <row r="57" ht="16.35" spans="1:29">
      <c r="A57" s="69" t="s">
        <v>332</v>
      </c>
      <c r="B57" s="70">
        <f>SUM(Y52:Y58)*R29+夜晚模拟!B57</f>
        <v>1.20713322147802</v>
      </c>
      <c r="C57" s="70">
        <v>0</v>
      </c>
      <c r="D57" s="70">
        <f>SUM(U52:U59)*R29+夜晚模拟!E57</f>
        <v>0.0218584007518075</v>
      </c>
      <c r="E57" s="70">
        <f>SUM(T52:T58)</f>
        <v>0.000579205898196528</v>
      </c>
      <c r="F57" s="71">
        <f>SUM(S52:S58)*R29+夜晚模拟!F57</f>
        <v>0.109021659636067</v>
      </c>
      <c r="G57" s="72" t="s">
        <v>255</v>
      </c>
      <c r="H57" s="73">
        <v>12</v>
      </c>
      <c r="I57" s="87">
        <f>VLOOKUP(G57,G2:W27,17,0)</f>
        <v>2.4742428485294e-6</v>
      </c>
      <c r="J57" s="87">
        <f>数据表!T27</f>
        <v>6410.61818181818</v>
      </c>
      <c r="K57" s="87">
        <f t="shared" si="18"/>
        <v>0.0158614261910161</v>
      </c>
      <c r="L57" s="87">
        <f>数据表!R27</f>
        <v>18375</v>
      </c>
      <c r="M57" s="88">
        <f t="shared" si="19"/>
        <v>0.0454642123417276</v>
      </c>
      <c r="N57" s="84">
        <v>0.07</v>
      </c>
      <c r="O57" s="85">
        <v>0.02</v>
      </c>
      <c r="P57" s="86">
        <v>0.009</v>
      </c>
      <c r="Q57" s="40">
        <v>1.14</v>
      </c>
      <c r="R57" s="40">
        <f>数据表!P27*H57</f>
        <v>0</v>
      </c>
      <c r="S57" s="40">
        <f t="shared" si="25"/>
        <v>2.07836399276469e-6</v>
      </c>
      <c r="T57" s="40">
        <f t="shared" si="20"/>
        <v>5.93818283647055e-7</v>
      </c>
      <c r="U57" s="40">
        <f t="shared" si="21"/>
        <v>2.67218227641175e-7</v>
      </c>
      <c r="V57" s="40">
        <f t="shared" si="26"/>
        <v>2.82063684732351e-6</v>
      </c>
      <c r="W57" s="40">
        <f t="shared" si="27"/>
        <v>0</v>
      </c>
      <c r="X57" s="40">
        <f>数据表!G27+数据表!F32</f>
        <v>12.25</v>
      </c>
      <c r="Y57" s="40">
        <f t="shared" si="22"/>
        <v>3.03094748944851e-5</v>
      </c>
      <c r="Z57" s="115">
        <v>0</v>
      </c>
      <c r="AA57" s="115">
        <v>0</v>
      </c>
      <c r="AB57" s="40">
        <f t="shared" si="23"/>
        <v>0</v>
      </c>
      <c r="AC57" s="103">
        <f t="shared" si="24"/>
        <v>0</v>
      </c>
    </row>
    <row r="58" ht="16.35" spans="1:29">
      <c r="A58" s="32"/>
      <c r="B58" s="32"/>
      <c r="C58" s="32"/>
      <c r="D58" s="32"/>
      <c r="E58" s="32"/>
      <c r="F58" s="32"/>
      <c r="G58" s="74" t="s">
        <v>257</v>
      </c>
      <c r="H58" s="75">
        <v>3</v>
      </c>
      <c r="I58" s="89">
        <f>VLOOKUP(G58,G2:W27,17,0)</f>
        <v>0.00071455099814152</v>
      </c>
      <c r="J58" s="89">
        <f>数据表!T28</f>
        <v>1699.2</v>
      </c>
      <c r="K58" s="89">
        <f t="shared" si="18"/>
        <v>1.21416505604207</v>
      </c>
      <c r="L58" s="89">
        <f>数据表!R28</f>
        <v>4875</v>
      </c>
      <c r="M58" s="90">
        <f t="shared" si="19"/>
        <v>3.48343611593991</v>
      </c>
      <c r="N58" s="91">
        <v>0</v>
      </c>
      <c r="O58" s="92">
        <v>0</v>
      </c>
      <c r="P58" s="93">
        <v>0.011</v>
      </c>
      <c r="Q58" s="53">
        <v>0.35</v>
      </c>
      <c r="R58" s="53">
        <f>数据表!P28*H58</f>
        <v>0</v>
      </c>
      <c r="S58" s="53">
        <f t="shared" si="25"/>
        <v>0</v>
      </c>
      <c r="T58" s="53">
        <f t="shared" si="20"/>
        <v>0</v>
      </c>
      <c r="U58" s="53">
        <f t="shared" si="21"/>
        <v>2.35801829386702e-5</v>
      </c>
      <c r="V58" s="53">
        <f t="shared" si="26"/>
        <v>0.000250092849349532</v>
      </c>
      <c r="W58" s="53">
        <f t="shared" si="27"/>
        <v>0</v>
      </c>
      <c r="X58" s="53">
        <f>数据表!G28+数据表!F32</f>
        <v>3.25</v>
      </c>
      <c r="Y58" s="53">
        <f t="shared" si="22"/>
        <v>0.00232229074395994</v>
      </c>
      <c r="Z58" s="116">
        <v>0</v>
      </c>
      <c r="AA58" s="116">
        <v>0</v>
      </c>
      <c r="AB58" s="53">
        <f t="shared" si="23"/>
        <v>0</v>
      </c>
      <c r="AC58" s="104">
        <f t="shared" si="24"/>
        <v>0</v>
      </c>
    </row>
    <row r="59" ht="15.6" spans="1:31">
      <c r="A59" s="32"/>
      <c r="B59" s="32"/>
      <c r="C59" s="32"/>
      <c r="D59" s="32"/>
      <c r="E59" s="32"/>
      <c r="F59" s="32"/>
      <c r="G59" s="54" t="s">
        <v>333</v>
      </c>
      <c r="H59" s="32" t="s">
        <v>334</v>
      </c>
      <c r="I59" s="32">
        <f t="shared" ref="I59:M59" si="28">SUM(I33:I58)</f>
        <v>0.999998744459078</v>
      </c>
      <c r="J59" s="32" t="s">
        <v>335</v>
      </c>
      <c r="K59" s="32">
        <f t="shared" si="28"/>
        <v>5276.9663240764</v>
      </c>
      <c r="L59" s="32" t="s">
        <v>336</v>
      </c>
      <c r="M59" s="32">
        <f t="shared" si="28"/>
        <v>3571.61130787558</v>
      </c>
      <c r="N59" s="94" t="s">
        <v>337</v>
      </c>
      <c r="O59" s="95"/>
      <c r="P59" s="96"/>
      <c r="R59" s="97"/>
      <c r="S59" s="62" t="s">
        <v>69</v>
      </c>
      <c r="T59" s="62" t="s">
        <v>74</v>
      </c>
      <c r="U59" s="62" t="s">
        <v>89</v>
      </c>
      <c r="V59" s="40" t="s">
        <v>330</v>
      </c>
      <c r="W59" s="40" t="s">
        <v>113</v>
      </c>
      <c r="X59" s="105">
        <f>SUM(Y33:Y58)</f>
        <v>2.31048151980361</v>
      </c>
      <c r="Y59" s="106"/>
      <c r="AA59" s="106"/>
      <c r="AB59" s="106"/>
      <c r="AC59" s="107"/>
      <c r="AD59" s="32"/>
      <c r="AE59" s="32"/>
    </row>
    <row r="60" ht="15.15" spans="1:31">
      <c r="A60" s="32"/>
      <c r="B60" s="32"/>
      <c r="C60" s="32"/>
      <c r="D60" s="32"/>
      <c r="E60" s="32"/>
      <c r="F60" s="32"/>
      <c r="G60" s="56"/>
      <c r="H60" s="57"/>
      <c r="I60" s="57"/>
      <c r="J60" s="57" t="s">
        <v>338</v>
      </c>
      <c r="K60" s="57">
        <f>K59/M59*100</f>
        <v>147.747497395375</v>
      </c>
      <c r="L60" s="57"/>
      <c r="M60" s="57"/>
      <c r="N60" s="97" t="s">
        <v>339</v>
      </c>
      <c r="O60" s="76">
        <f>R29+1</f>
        <v>7.82453603577596</v>
      </c>
      <c r="P60" s="98" t="s">
        <v>340</v>
      </c>
      <c r="R60" s="54" t="s">
        <v>341</v>
      </c>
      <c r="S60" s="32">
        <f>SUM(S33:S58)*R29</f>
        <v>4.69965236251929</v>
      </c>
      <c r="T60" s="32">
        <f>SUM(T33:T58)*R29</f>
        <v>1.74749508066949</v>
      </c>
      <c r="U60" s="32">
        <f>SUM(U33:U58)*R29</f>
        <v>0.595932978096608</v>
      </c>
      <c r="V60" s="32">
        <f>SUM(V33:V58)*R29</f>
        <v>5.23638122186107</v>
      </c>
      <c r="W60" s="32">
        <f>SUM(W33:W58)*R29</f>
        <v>4.44551028602889</v>
      </c>
      <c r="X60" s="56"/>
      <c r="Y60" s="57"/>
      <c r="AA60" s="57" t="s">
        <v>342</v>
      </c>
      <c r="AB60" s="57">
        <f>SUM(AB33:AB58)*R29</f>
        <v>11859.7664039997</v>
      </c>
      <c r="AC60" s="112">
        <f>SUM(AC33:AC58)*R29</f>
        <v>0.763130688402464</v>
      </c>
      <c r="AD60" s="32"/>
      <c r="AE60" s="32"/>
    </row>
    <row r="61" spans="1:31">
      <c r="A61" s="32"/>
      <c r="B61" s="32"/>
      <c r="C61" s="32"/>
      <c r="D61" s="32"/>
      <c r="E61" s="32"/>
      <c r="F61" s="32"/>
      <c r="G61" s="32"/>
      <c r="H61" s="32"/>
      <c r="I61" s="32"/>
      <c r="J61" s="32"/>
      <c r="K61" s="32"/>
      <c r="L61" s="32"/>
      <c r="M61" s="32"/>
      <c r="N61" s="97" t="s">
        <v>343</v>
      </c>
      <c r="O61" s="76">
        <f>1-T28</f>
        <v>0.574514559233975</v>
      </c>
      <c r="P61" s="98"/>
      <c r="R61" s="54" t="s">
        <v>344</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345</v>
      </c>
      <c r="O62" s="76">
        <f>V28</f>
        <v>0.228675703976161</v>
      </c>
      <c r="P62" s="98"/>
      <c r="R62" s="54" t="s">
        <v>346</v>
      </c>
      <c r="S62" s="32">
        <f>M59/X59</f>
        <v>1545.82985289541</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347</v>
      </c>
      <c r="O63" s="100"/>
      <c r="P63" s="101">
        <f>O62</f>
        <v>0.228675703976161</v>
      </c>
      <c r="R63" s="56" t="s">
        <v>348</v>
      </c>
      <c r="S63" s="57">
        <f>K59/X59</f>
        <v>2283.92492164358</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K4" workbookViewId="0">
      <selection activeCell="V29" sqref="V29"/>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c r="U1" s="34" t="s">
        <v>308</v>
      </c>
      <c r="V1" s="34"/>
      <c r="W1" s="102" t="s">
        <v>309</v>
      </c>
      <c r="X1" s="32" t="s">
        <v>310</v>
      </c>
      <c r="Y1" s="32" t="s">
        <v>311</v>
      </c>
      <c r="Z1" s="32" t="s">
        <v>312</v>
      </c>
      <c r="AA1" s="32" t="s">
        <v>313</v>
      </c>
      <c r="AB1" s="32"/>
      <c r="AC1" s="32"/>
      <c r="AD1" s="32"/>
    </row>
    <row r="2" ht="15.6" spans="1:30">
      <c r="A2" s="33">
        <f>数据表!I3</f>
        <v>24</v>
      </c>
      <c r="B2" s="35" t="s">
        <v>208</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SUMIF(F2:F27,"&lt;="&amp;'倾向-优先级表'!M14,O2:O27)</f>
        <v>0.769954380786832</v>
      </c>
      <c r="Q2" s="40">
        <f>IF(VLOOKUP(1,A2:C27,3,0)&gt;(24-'倾向-优先级表'!I13),VLOOKUP(1,A2:C27,3,0),24-'倾向-优先级表'!I13)</f>
        <v>8</v>
      </c>
      <c r="R2" s="40">
        <f t="shared" ref="R2:R27" si="5">Q2*O2</f>
        <v>0.344610666625871</v>
      </c>
      <c r="S2" s="40">
        <f>R29</f>
        <v>1</v>
      </c>
      <c r="T2" s="40">
        <f>'倾向-优先级表'!M14</f>
        <v>14</v>
      </c>
      <c r="U2" s="40">
        <f>V28</f>
        <v>0.383357370947197</v>
      </c>
      <c r="V2" s="40">
        <f t="shared" ref="V2:V27" si="6">IF(F2&lt;=T2,O2,0)</f>
        <v>0.0430763333282339</v>
      </c>
      <c r="W2" s="103">
        <f t="shared" ref="W2:W27" si="7">V2/P2*(1-U2)+U2*O2</f>
        <v>0.0510126912629539</v>
      </c>
      <c r="X2" s="32">
        <f>VLOOKUP(G2,G33:L58,6,0)</f>
        <v>12000</v>
      </c>
      <c r="Y2" s="32">
        <f>VLOOKUP(G2,G33:L58,4,0)</f>
        <v>21008.2909090909</v>
      </c>
      <c r="Z2" s="32">
        <f t="shared" ref="Z2:Z27" si="8">X2*O2</f>
        <v>516.915999938807</v>
      </c>
      <c r="AA2" s="32">
        <f t="shared" ref="AA2:AA27" si="9">Y2*O2</f>
        <v>904.960141856506</v>
      </c>
      <c r="AB2" s="32"/>
      <c r="AC2" s="32"/>
      <c r="AD2" s="32"/>
    </row>
    <row r="3" ht="15.6" spans="1:30">
      <c r="A3" s="41">
        <f>数据表!I4</f>
        <v>25</v>
      </c>
      <c r="B3" s="42" t="s">
        <v>214</v>
      </c>
      <c r="C3" s="43">
        <v>2</v>
      </c>
      <c r="D3" s="44">
        <v>2649</v>
      </c>
      <c r="E3" s="45">
        <f t="shared" si="0"/>
        <v>2649</v>
      </c>
      <c r="F3" s="39">
        <v>2</v>
      </c>
      <c r="G3" s="40" t="str">
        <f>VLOOKUP(2,数据表!C1:D26,2,0)</f>
        <v>彩船定向0.5h</v>
      </c>
      <c r="H3" s="40">
        <f>VLOOKUP(G3,B2:E27,4,0)</f>
        <v>51.6</v>
      </c>
      <c r="I3" s="78">
        <f t="shared" ref="I3:I27" si="10">I2-H2</f>
        <v>36228.67</v>
      </c>
      <c r="J3" s="78">
        <f t="shared" si="1"/>
        <v>0.00142428634559314</v>
      </c>
      <c r="K3" s="78">
        <f t="shared" si="2"/>
        <v>0.000474762115197715</v>
      </c>
      <c r="L3" s="78">
        <f t="shared" si="3"/>
        <v>0.994787975462993</v>
      </c>
      <c r="M3" s="78">
        <f t="shared" si="4"/>
        <v>0.00521202453700731</v>
      </c>
      <c r="N3" s="78">
        <f t="shared" ref="N3:N27" si="11">L3*N2</f>
        <v>0.95193615704103</v>
      </c>
      <c r="O3" s="78">
        <f t="shared" ref="O3:O27" si="12">M3*N2</f>
        <v>0.00498750963073625</v>
      </c>
      <c r="P3" s="40">
        <f t="shared" ref="P3:U3" si="13">P2</f>
        <v>0.769954380786832</v>
      </c>
      <c r="Q3" s="40">
        <f>IF(VLOOKUP(2,A2:C27,3,0)&gt;(24-'倾向-优先级表'!I13),VLOOKUP(2,A2:C27,3,0),24-'倾向-优先级表'!I13)</f>
        <v>8</v>
      </c>
      <c r="R3" s="40">
        <f t="shared" si="5"/>
        <v>0.03990007704589</v>
      </c>
      <c r="S3" s="40">
        <f t="shared" si="13"/>
        <v>1</v>
      </c>
      <c r="T3" s="40">
        <f t="shared" si="13"/>
        <v>14</v>
      </c>
      <c r="U3" s="40">
        <f t="shared" si="13"/>
        <v>0.383357370947197</v>
      </c>
      <c r="V3" s="40">
        <f t="shared" si="6"/>
        <v>0.00498750963073625</v>
      </c>
      <c r="W3" s="103">
        <f t="shared" si="7"/>
        <v>0.00590640542743215</v>
      </c>
      <c r="X3" s="32">
        <f>VLOOKUP(G3,G33:L58,6,0)</f>
        <v>17000</v>
      </c>
      <c r="Y3" s="32">
        <f>VLOOKUP(G3,G33:L58,4,0)</f>
        <v>14011.9636363636</v>
      </c>
      <c r="Z3" s="32">
        <f t="shared" si="8"/>
        <v>84.7876637225162</v>
      </c>
      <c r="AA3" s="32">
        <f t="shared" si="9"/>
        <v>69.8848035818896</v>
      </c>
      <c r="AB3" s="32"/>
      <c r="AC3" s="32"/>
      <c r="AD3" s="32"/>
    </row>
    <row r="4" ht="15.6" spans="1:30">
      <c r="A4" s="41">
        <f>数据表!I5</f>
        <v>26</v>
      </c>
      <c r="B4" s="42" t="s">
        <v>225</v>
      </c>
      <c r="C4" s="43">
        <v>4</v>
      </c>
      <c r="D4" s="44">
        <v>591</v>
      </c>
      <c r="E4" s="45">
        <f t="shared" si="0"/>
        <v>591</v>
      </c>
      <c r="F4" s="39">
        <v>3</v>
      </c>
      <c r="G4" s="40" t="str">
        <f>VLOOKUP(3,数据表!C1:D26,2,0)</f>
        <v>舰装解析4h</v>
      </c>
      <c r="H4" s="40">
        <f>VLOOKUP(G4,B2:E27,4,0)</f>
        <v>861</v>
      </c>
      <c r="I4" s="78">
        <f t="shared" si="10"/>
        <v>36177.07</v>
      </c>
      <c r="J4" s="78">
        <f t="shared" si="1"/>
        <v>0.0237996056618184</v>
      </c>
      <c r="K4" s="78">
        <f t="shared" si="2"/>
        <v>0.00793320188727279</v>
      </c>
      <c r="L4" s="78">
        <f t="shared" si="3"/>
        <v>0.915585205725391</v>
      </c>
      <c r="M4" s="78">
        <f t="shared" si="4"/>
        <v>0.084414794274609</v>
      </c>
      <c r="N4" s="78">
        <f t="shared" si="11"/>
        <v>0.871578662181849</v>
      </c>
      <c r="O4" s="78">
        <f t="shared" si="12"/>
        <v>0.0803574948591804</v>
      </c>
      <c r="P4" s="40">
        <f t="shared" ref="P4:U4" si="14">P3</f>
        <v>0.769954380786832</v>
      </c>
      <c r="Q4" s="40">
        <f>IF(VLOOKUP(3,A2:C27,3,0)&gt;(24-'倾向-优先级表'!I13),VLOOKUP(3,A2:C27,3,0),24-'倾向-优先级表'!I13)</f>
        <v>8</v>
      </c>
      <c r="R4" s="40">
        <f t="shared" si="5"/>
        <v>0.642859958873443</v>
      </c>
      <c r="S4" s="40">
        <f t="shared" si="14"/>
        <v>1</v>
      </c>
      <c r="T4" s="40">
        <f t="shared" si="14"/>
        <v>14</v>
      </c>
      <c r="U4" s="40">
        <f t="shared" si="14"/>
        <v>0.383357370947197</v>
      </c>
      <c r="V4" s="40">
        <f t="shared" si="6"/>
        <v>0.0803574948591804</v>
      </c>
      <c r="W4" s="103">
        <f t="shared" si="7"/>
        <v>0.095162511736554</v>
      </c>
      <c r="X4" s="32">
        <f>VLOOKUP(G4,G33:L58,6,0)</f>
        <v>12000</v>
      </c>
      <c r="Y4" s="32">
        <f>VLOOKUP(G4,G33:L58,4,0)</f>
        <v>10504.1454545455</v>
      </c>
      <c r="Z4" s="32">
        <f t="shared" si="8"/>
        <v>964.289938310165</v>
      </c>
      <c r="AA4" s="32">
        <f t="shared" si="9"/>
        <v>844.086814363723</v>
      </c>
      <c r="AB4" s="32"/>
      <c r="AC4" s="32"/>
      <c r="AD4" s="32"/>
    </row>
    <row r="5" ht="15.6" spans="1:30">
      <c r="A5" s="41">
        <f>数据表!I6</f>
        <v>13</v>
      </c>
      <c r="B5" s="42" t="s">
        <v>227</v>
      </c>
      <c r="C5" s="43">
        <v>0.5</v>
      </c>
      <c r="D5" s="44">
        <v>44</v>
      </c>
      <c r="E5" s="45">
        <f t="shared" si="0"/>
        <v>44</v>
      </c>
      <c r="F5" s="39">
        <v>4</v>
      </c>
      <c r="G5" s="40" t="str">
        <f>VLOOKUP(4,数据表!C1:D26,2,0)</f>
        <v>彩船定向8h</v>
      </c>
      <c r="H5" s="40">
        <f>VLOOKUP(G5,B2:E27,4,0)</f>
        <v>286.4</v>
      </c>
      <c r="I5" s="78">
        <f t="shared" si="10"/>
        <v>35316.07</v>
      </c>
      <c r="J5" s="78">
        <f t="shared" si="1"/>
        <v>0.00810962261655954</v>
      </c>
      <c r="K5" s="78">
        <f t="shared" si="2"/>
        <v>0.00270320753885318</v>
      </c>
      <c r="L5" s="78">
        <f t="shared" si="3"/>
        <v>0.970599080828893</v>
      </c>
      <c r="M5" s="78">
        <f t="shared" si="4"/>
        <v>0.0294009191711072</v>
      </c>
      <c r="N5" s="78">
        <f t="shared" si="11"/>
        <v>0.845953448383779</v>
      </c>
      <c r="O5" s="78">
        <f t="shared" si="12"/>
        <v>0.0256252137980703</v>
      </c>
      <c r="P5" s="40">
        <f t="shared" ref="P5:U5" si="15">P4</f>
        <v>0.769954380786832</v>
      </c>
      <c r="Q5" s="40">
        <f>IF(VLOOKUP(4,A2:C27,3,0)&gt;(24-'倾向-优先级表'!I13),VLOOKUP(4,A2:C27,3,0),24-'倾向-优先级表'!I13)</f>
        <v>8</v>
      </c>
      <c r="R5" s="40">
        <f t="shared" si="5"/>
        <v>0.205001710384562</v>
      </c>
      <c r="S5" s="40">
        <f t="shared" si="15"/>
        <v>1</v>
      </c>
      <c r="T5" s="40">
        <f t="shared" si="15"/>
        <v>14</v>
      </c>
      <c r="U5" s="40">
        <f t="shared" si="15"/>
        <v>0.383357370947197</v>
      </c>
      <c r="V5" s="40">
        <f t="shared" si="6"/>
        <v>0.0256252137980703</v>
      </c>
      <c r="W5" s="103">
        <f t="shared" si="7"/>
        <v>0.0303463878893181</v>
      </c>
      <c r="X5" s="32">
        <f>VLOOKUP(G5,G33:L58,6,0)</f>
        <v>12000</v>
      </c>
      <c r="Y5" s="32">
        <f>VLOOKUP(G5,G33:L58,4,0)</f>
        <v>9783.27272727273</v>
      </c>
      <c r="Z5" s="32">
        <f t="shared" si="8"/>
        <v>307.502565576844</v>
      </c>
      <c r="AA5" s="32">
        <f t="shared" si="9"/>
        <v>250.698455281194</v>
      </c>
      <c r="AB5" s="32"/>
      <c r="AC5" s="32"/>
      <c r="AD5" s="32"/>
    </row>
    <row r="6" ht="15.6" spans="1:30">
      <c r="A6" s="41">
        <f>数据表!I7</f>
        <v>19</v>
      </c>
      <c r="B6" s="42" t="s">
        <v>228</v>
      </c>
      <c r="C6" s="43">
        <v>1</v>
      </c>
      <c r="D6" s="44">
        <v>3173</v>
      </c>
      <c r="E6" s="45">
        <f t="shared" si="0"/>
        <v>3173</v>
      </c>
      <c r="F6" s="39">
        <v>5</v>
      </c>
      <c r="G6" s="40" t="str">
        <f>VLOOKUP(5,数据表!C1:D26,2,0)</f>
        <v>金船定向0.5h</v>
      </c>
      <c r="H6" s="40">
        <f>VLOOKUP(G6,B2:E27,4,0)</f>
        <v>77.4</v>
      </c>
      <c r="I6" s="78">
        <f t="shared" si="10"/>
        <v>35029.67</v>
      </c>
      <c r="J6" s="78">
        <f t="shared" si="1"/>
        <v>0.00220955549966643</v>
      </c>
      <c r="K6" s="78">
        <f t="shared" si="2"/>
        <v>0.000736518499888809</v>
      </c>
      <c r="L6" s="78">
        <f t="shared" si="3"/>
        <v>0.991923213704253</v>
      </c>
      <c r="M6" s="78">
        <f t="shared" si="4"/>
        <v>0.00807678629574737</v>
      </c>
      <c r="N6" s="78">
        <f t="shared" si="11"/>
        <v>0.839120863165033</v>
      </c>
      <c r="O6" s="78">
        <f t="shared" si="12"/>
        <v>0.00683258521874634</v>
      </c>
      <c r="P6" s="40">
        <f t="shared" ref="P6:U6" si="16">P5</f>
        <v>0.769954380786832</v>
      </c>
      <c r="Q6" s="40">
        <f>IF(VLOOKUP(5,A2:C27,3,0)&gt;(24-'倾向-优先级表'!I13),VLOOKUP(5,A2:C27,3,0),24-'倾向-优先级表'!I13)</f>
        <v>8</v>
      </c>
      <c r="R6" s="40">
        <f t="shared" si="5"/>
        <v>0.0546606817499707</v>
      </c>
      <c r="S6" s="40">
        <f t="shared" si="16"/>
        <v>1</v>
      </c>
      <c r="T6" s="40">
        <f t="shared" si="16"/>
        <v>14</v>
      </c>
      <c r="U6" s="40">
        <f t="shared" si="16"/>
        <v>0.383357370947197</v>
      </c>
      <c r="V6" s="40">
        <f t="shared" si="6"/>
        <v>0.00683258521874634</v>
      </c>
      <c r="W6" s="103">
        <f t="shared" si="7"/>
        <v>0.00809141664021986</v>
      </c>
      <c r="X6" s="32">
        <f>VLOOKUP(G6,G33:L58,6,0)</f>
        <v>17000</v>
      </c>
      <c r="Y6" s="32">
        <f>VLOOKUP(G6,G33:L58,4,0)</f>
        <v>12103.5818181818</v>
      </c>
      <c r="Z6" s="32">
        <f t="shared" si="8"/>
        <v>116.153948718688</v>
      </c>
      <c r="AA6" s="32">
        <f t="shared" si="9"/>
        <v>82.6987542247959</v>
      </c>
      <c r="AB6" s="32"/>
      <c r="AC6" s="32"/>
      <c r="AD6" s="32"/>
    </row>
    <row r="7" ht="15.6" spans="1:30">
      <c r="A7" s="41">
        <f>数据表!I8</f>
        <v>12</v>
      </c>
      <c r="B7" s="42" t="s">
        <v>229</v>
      </c>
      <c r="C7" s="43">
        <v>2</v>
      </c>
      <c r="D7" s="44">
        <v>1588</v>
      </c>
      <c r="E7" s="45">
        <f t="shared" si="0"/>
        <v>1588</v>
      </c>
      <c r="F7" s="39">
        <v>6</v>
      </c>
      <c r="G7" s="40" t="str">
        <f>VLOOKUP(6,数据表!C1:D26,2,0)</f>
        <v>金船定向8h</v>
      </c>
      <c r="H7" s="40">
        <f>VLOOKUP(G7,B2:E27,4,0)</f>
        <v>429.6</v>
      </c>
      <c r="I7" s="78">
        <f t="shared" si="10"/>
        <v>34952.27</v>
      </c>
      <c r="J7" s="78">
        <f t="shared" si="1"/>
        <v>0.0122910471909264</v>
      </c>
      <c r="K7" s="78">
        <f t="shared" si="2"/>
        <v>0.00409701573030879</v>
      </c>
      <c r="L7" s="78">
        <f t="shared" si="3"/>
        <v>0.955698795145524</v>
      </c>
      <c r="M7" s="78">
        <f t="shared" si="4"/>
        <v>0.0443012048544764</v>
      </c>
      <c r="N7" s="78">
        <f t="shared" si="11"/>
        <v>0.801946797908294</v>
      </c>
      <c r="O7" s="78">
        <f t="shared" si="12"/>
        <v>0.0371740652567392</v>
      </c>
      <c r="P7" s="40">
        <f t="shared" ref="P7:U7" si="17">P6</f>
        <v>0.769954380786832</v>
      </c>
      <c r="Q7" s="40">
        <f>IF(VLOOKUP(6,A2:C27,3,0)&gt;(24-'倾向-优先级表'!I13),VLOOKUP(6,A2:C27,3,0),24-'倾向-优先级表'!I13)</f>
        <v>8</v>
      </c>
      <c r="R7" s="40">
        <f t="shared" si="5"/>
        <v>0.297392522053914</v>
      </c>
      <c r="S7" s="40">
        <f t="shared" si="17"/>
        <v>1</v>
      </c>
      <c r="T7" s="40">
        <f t="shared" si="17"/>
        <v>14</v>
      </c>
      <c r="U7" s="40">
        <f t="shared" si="17"/>
        <v>0.383357370947197</v>
      </c>
      <c r="V7" s="40">
        <f t="shared" si="6"/>
        <v>0.0371740652567392</v>
      </c>
      <c r="W7" s="103">
        <f t="shared" si="7"/>
        <v>0.0440229928457721</v>
      </c>
      <c r="X7" s="32">
        <f>VLOOKUP(G7,G33:L58,6,0)</f>
        <v>12000</v>
      </c>
      <c r="Y7" s="32">
        <f>VLOOKUP(G7,G33:L58,4,0)</f>
        <v>8393.01818181818</v>
      </c>
      <c r="Z7" s="32">
        <f t="shared" si="8"/>
        <v>446.08878308087</v>
      </c>
      <c r="AA7" s="32">
        <f t="shared" si="9"/>
        <v>312.002605591908</v>
      </c>
      <c r="AB7" s="32"/>
      <c r="AC7" s="32"/>
      <c r="AD7" s="32"/>
    </row>
    <row r="8" ht="15.6" spans="1:30">
      <c r="A8" s="41">
        <f>数据表!I9</f>
        <v>3</v>
      </c>
      <c r="B8" s="42" t="s">
        <v>231</v>
      </c>
      <c r="C8" s="43">
        <v>4</v>
      </c>
      <c r="D8" s="44">
        <v>861</v>
      </c>
      <c r="E8" s="45">
        <f t="shared" si="0"/>
        <v>861</v>
      </c>
      <c r="F8" s="39">
        <v>7</v>
      </c>
      <c r="G8" s="40" t="str">
        <f>VLOOKUP(7,数据表!C1:D26,2,0)</f>
        <v>资金募集4h</v>
      </c>
      <c r="H8" s="40">
        <f>VLOOKUP(G8,B2:E27,4,0)</f>
        <v>1793</v>
      </c>
      <c r="I8" s="78">
        <f t="shared" si="10"/>
        <v>34522.67</v>
      </c>
      <c r="J8" s="78">
        <f t="shared" si="1"/>
        <v>0.0519368866892393</v>
      </c>
      <c r="K8" s="78">
        <f t="shared" si="2"/>
        <v>0.0173122955630798</v>
      </c>
      <c r="L8" s="78">
        <f t="shared" si="3"/>
        <v>0.822891910753237</v>
      </c>
      <c r="M8" s="78">
        <f t="shared" si="4"/>
        <v>0.177108089246763</v>
      </c>
      <c r="N8" s="78">
        <f t="shared" si="11"/>
        <v>0.659915532853196</v>
      </c>
      <c r="O8" s="78">
        <f t="shared" si="12"/>
        <v>0.142031265055098</v>
      </c>
      <c r="P8" s="40">
        <f t="shared" ref="P8:U8" si="18">P7</f>
        <v>0.769954380786832</v>
      </c>
      <c r="Q8" s="40">
        <f>IF(VLOOKUP(7,A2:C27,3,0)&gt;(24-'倾向-优先级表'!I13),VLOOKUP(7,A2:C27,3,0),24-'倾向-优先级表'!I13)</f>
        <v>8</v>
      </c>
      <c r="R8" s="40">
        <f t="shared" si="5"/>
        <v>1.13625012044078</v>
      </c>
      <c r="S8" s="40">
        <f t="shared" si="18"/>
        <v>1</v>
      </c>
      <c r="T8" s="40">
        <f t="shared" si="18"/>
        <v>14</v>
      </c>
      <c r="U8" s="40">
        <f t="shared" si="18"/>
        <v>0.383357370947197</v>
      </c>
      <c r="V8" s="40">
        <f t="shared" si="6"/>
        <v>0.142031265055098</v>
      </c>
      <c r="W8" s="103">
        <f t="shared" si="7"/>
        <v>0.168199020532547</v>
      </c>
      <c r="X8" s="32">
        <f>VLOOKUP(G8,G33:L58,6,0)</f>
        <v>12000</v>
      </c>
      <c r="Y8" s="32">
        <f>VLOOKUP(G8,G33:L58,4,0)</f>
        <v>7414.69090909091</v>
      </c>
      <c r="Z8" s="32">
        <f t="shared" si="8"/>
        <v>1704.37518066117</v>
      </c>
      <c r="AA8" s="32">
        <f t="shared" si="9"/>
        <v>1053.11792981071</v>
      </c>
      <c r="AB8" s="32"/>
      <c r="AC8" s="32"/>
      <c r="AD8" s="32"/>
    </row>
    <row r="9" ht="15.6" spans="1:30">
      <c r="A9" s="41">
        <f>数据表!I10</f>
        <v>1</v>
      </c>
      <c r="B9" s="42" t="s">
        <v>233</v>
      </c>
      <c r="C9" s="43">
        <v>0.5</v>
      </c>
      <c r="D9" s="44">
        <v>438</v>
      </c>
      <c r="E9" s="45">
        <f t="shared" si="0"/>
        <v>438</v>
      </c>
      <c r="F9" s="39">
        <v>8</v>
      </c>
      <c r="G9" s="40" t="str">
        <f>VLOOKUP(8,数据表!C1:D26,2,0)</f>
        <v>金数据收集4h</v>
      </c>
      <c r="H9" s="40">
        <f>VLOOKUP(G9,B2:E27,4,0)</f>
        <v>361</v>
      </c>
      <c r="I9" s="78">
        <f t="shared" si="10"/>
        <v>32729.67</v>
      </c>
      <c r="J9" s="78">
        <f t="shared" si="1"/>
        <v>0.0110297476265419</v>
      </c>
      <c r="K9" s="78">
        <f t="shared" si="2"/>
        <v>0.00367658254218064</v>
      </c>
      <c r="L9" s="78">
        <f t="shared" si="3"/>
        <v>0.960174927981887</v>
      </c>
      <c r="M9" s="78">
        <f t="shared" si="4"/>
        <v>0.0398250720181133</v>
      </c>
      <c r="N9" s="78">
        <f t="shared" si="11"/>
        <v>0.633634349231446</v>
      </c>
      <c r="O9" s="78">
        <f t="shared" si="12"/>
        <v>0.0262811836217501</v>
      </c>
      <c r="P9" s="40">
        <f t="shared" ref="P9:U9" si="19">P8</f>
        <v>0.769954380786832</v>
      </c>
      <c r="Q9" s="40">
        <f>IF(VLOOKUP(8,A2:C27,3,0)&gt;(24-'倾向-优先级表'!I13),VLOOKUP(8,A2:C27,3,0),24-'倾向-优先级表'!I13)</f>
        <v>8</v>
      </c>
      <c r="R9" s="40">
        <f t="shared" si="5"/>
        <v>0.210249468974001</v>
      </c>
      <c r="S9" s="40">
        <f t="shared" si="19"/>
        <v>1</v>
      </c>
      <c r="T9" s="40">
        <f t="shared" si="19"/>
        <v>14</v>
      </c>
      <c r="U9" s="40">
        <f t="shared" si="19"/>
        <v>0.383357370947197</v>
      </c>
      <c r="V9" s="40">
        <f t="shared" si="6"/>
        <v>0.0262811836217501</v>
      </c>
      <c r="W9" s="103">
        <f t="shared" si="7"/>
        <v>0.0311232132016819</v>
      </c>
      <c r="X9" s="32">
        <f>VLOOKUP(G9,G33:L58,6,0)</f>
        <v>12000</v>
      </c>
      <c r="Y9" s="32">
        <f>VLOOKUP(G9,G33:L58,4,0)</f>
        <v>6050.18181818182</v>
      </c>
      <c r="Z9" s="32">
        <f t="shared" si="8"/>
        <v>315.374203461001</v>
      </c>
      <c r="AA9" s="32">
        <f t="shared" si="9"/>
        <v>159.00593930861</v>
      </c>
      <c r="AB9" s="32"/>
      <c r="AC9" s="32"/>
      <c r="AD9" s="32"/>
    </row>
    <row r="10" ht="15.6" spans="1:30">
      <c r="A10" s="41">
        <f>数据表!I11</f>
        <v>16</v>
      </c>
      <c r="B10" s="42" t="s">
        <v>234</v>
      </c>
      <c r="C10" s="43">
        <v>2.5</v>
      </c>
      <c r="D10" s="44">
        <v>4817</v>
      </c>
      <c r="E10" s="45">
        <f>D28*D10</f>
        <v>2890.2</v>
      </c>
      <c r="F10" s="39">
        <v>9</v>
      </c>
      <c r="G10" s="40" t="str">
        <f>VLOOKUP(9,数据表!C1:D26,2,0)</f>
        <v>彩船定向5h</v>
      </c>
      <c r="H10" s="40">
        <f>VLOOKUP(G10,B2:E27,4,0)</f>
        <v>1214.4</v>
      </c>
      <c r="I10" s="78">
        <f t="shared" si="10"/>
        <v>32368.67</v>
      </c>
      <c r="J10" s="78">
        <f t="shared" si="1"/>
        <v>0.0375177602292587</v>
      </c>
      <c r="K10" s="78">
        <f t="shared" si="2"/>
        <v>0.0125059200764196</v>
      </c>
      <c r="L10" s="78">
        <f t="shared" si="3"/>
        <v>0.869455130766663</v>
      </c>
      <c r="M10" s="78">
        <f t="shared" si="4"/>
        <v>0.130544869233337</v>
      </c>
      <c r="N10" s="78">
        <f t="shared" si="11"/>
        <v>0.550916635969276</v>
      </c>
      <c r="O10" s="78">
        <f t="shared" si="12"/>
        <v>0.0827177132621699</v>
      </c>
      <c r="P10" s="40">
        <f>P9</f>
        <v>0.769954380786832</v>
      </c>
      <c r="Q10" s="40">
        <f>IF(VLOOKUP(9,A2:C27,3,0)&gt;(24-'倾向-优先级表'!I13),VLOOKUP(9,A2:C27,3,0),24-'倾向-优先级表'!I13)</f>
        <v>8</v>
      </c>
      <c r="R10" s="40">
        <f t="shared" si="5"/>
        <v>0.661741706097359</v>
      </c>
      <c r="S10" s="40">
        <f t="shared" ref="P10:U10" si="20">S9</f>
        <v>1</v>
      </c>
      <c r="T10" s="40">
        <f t="shared" si="20"/>
        <v>14</v>
      </c>
      <c r="U10" s="40">
        <f t="shared" si="20"/>
        <v>0.383357370947197</v>
      </c>
      <c r="V10" s="40">
        <f t="shared" si="6"/>
        <v>0.0827177132621699</v>
      </c>
      <c r="W10" s="103">
        <f t="shared" si="7"/>
        <v>0.0979575753689995</v>
      </c>
      <c r="X10" s="32">
        <f>VLOOKUP(G10,G33:L58,6,0)</f>
        <v>12000</v>
      </c>
      <c r="Y10" s="32">
        <f>VLOOKUP(G10,G33:L58,4,0)</f>
        <v>5857.09090909091</v>
      </c>
      <c r="Z10" s="32">
        <f t="shared" si="8"/>
        <v>992.612559146039</v>
      </c>
      <c r="AA10" s="32">
        <f t="shared" si="9"/>
        <v>484.485166368644</v>
      </c>
      <c r="AB10" s="32"/>
      <c r="AC10" s="32"/>
      <c r="AD10" s="32"/>
    </row>
    <row r="11" ht="15.6" spans="1:30">
      <c r="A11" s="41">
        <f>数据表!I12</f>
        <v>11</v>
      </c>
      <c r="B11" s="42" t="s">
        <v>235</v>
      </c>
      <c r="C11" s="43">
        <v>5</v>
      </c>
      <c r="D11" s="44">
        <v>3036</v>
      </c>
      <c r="E11" s="45">
        <f>D28*D11</f>
        <v>1821.6</v>
      </c>
      <c r="F11" s="39">
        <v>10</v>
      </c>
      <c r="G11" s="40" t="str">
        <f>VLOOKUP(10,数据表!C1:D26,2,0)</f>
        <v>基础研究8h</v>
      </c>
      <c r="H11" s="40">
        <f>VLOOKUP(G11,B2:E27,4,0)</f>
        <v>1244</v>
      </c>
      <c r="I11" s="78">
        <f t="shared" si="10"/>
        <v>31154.27</v>
      </c>
      <c r="J11" s="78">
        <f t="shared" si="1"/>
        <v>0.0399303209479792</v>
      </c>
      <c r="K11" s="78">
        <f t="shared" si="2"/>
        <v>0.0133101069826597</v>
      </c>
      <c r="L11" s="78">
        <f t="shared" si="3"/>
        <v>0.861528445313929</v>
      </c>
      <c r="M11" s="78">
        <f t="shared" si="4"/>
        <v>0.138471554686071</v>
      </c>
      <c r="N11" s="78">
        <f t="shared" si="11"/>
        <v>0.47463035288419</v>
      </c>
      <c r="O11" s="78">
        <f t="shared" si="12"/>
        <v>0.0762862830850857</v>
      </c>
      <c r="P11" s="40">
        <f t="shared" ref="P11:U11" si="21">P10</f>
        <v>0.769954380786832</v>
      </c>
      <c r="Q11" s="40">
        <f>IF(VLOOKUP(10,A2:C27,3,0)&gt;(24-'倾向-优先级表'!I13),VLOOKUP(10,A2:C27,3,0),24-'倾向-优先级表'!I13)</f>
        <v>8</v>
      </c>
      <c r="R11" s="40">
        <f t="shared" si="5"/>
        <v>0.610290264680686</v>
      </c>
      <c r="S11" s="40">
        <f t="shared" si="21"/>
        <v>1</v>
      </c>
      <c r="T11" s="40">
        <f t="shared" si="21"/>
        <v>14</v>
      </c>
      <c r="U11" s="40">
        <f t="shared" si="21"/>
        <v>0.383357370947197</v>
      </c>
      <c r="V11" s="40">
        <f t="shared" si="6"/>
        <v>0.0762862830850857</v>
      </c>
      <c r="W11" s="103">
        <f t="shared" si="7"/>
        <v>0.0903412223358178</v>
      </c>
      <c r="X11" s="32">
        <f>VLOOKUP(G11,G33:L58,6,0)</f>
        <v>12000</v>
      </c>
      <c r="Y11" s="32">
        <f>VLOOKUP(G11,G33:L58,4,0)</f>
        <v>4994.61818181818</v>
      </c>
      <c r="Z11" s="32">
        <f t="shared" si="8"/>
        <v>915.435397021029</v>
      </c>
      <c r="AA11" s="32">
        <f t="shared" si="9"/>
        <v>381.020856520098</v>
      </c>
      <c r="AB11" s="32"/>
      <c r="AC11" s="32"/>
      <c r="AD11" s="32"/>
    </row>
    <row r="12" ht="15.6" spans="1:30">
      <c r="A12" s="41">
        <f>数据表!I13</f>
        <v>6</v>
      </c>
      <c r="B12" s="42" t="s">
        <v>236</v>
      </c>
      <c r="C12" s="43">
        <v>8</v>
      </c>
      <c r="D12" s="44">
        <v>716</v>
      </c>
      <c r="E12" s="45">
        <f>D28*D12</f>
        <v>429.6</v>
      </c>
      <c r="F12" s="39">
        <v>11</v>
      </c>
      <c r="G12" s="40" t="str">
        <f>VLOOKUP(11,数据表!C1:D26,2,0)</f>
        <v>金船定向5h</v>
      </c>
      <c r="H12" s="40">
        <f>VLOOKUP(G12,B2:E27,4,0)</f>
        <v>1821.6</v>
      </c>
      <c r="I12" s="78">
        <f t="shared" si="10"/>
        <v>29910.27</v>
      </c>
      <c r="J12" s="78">
        <f t="shared" si="1"/>
        <v>0.0609021583556417</v>
      </c>
      <c r="K12" s="78">
        <f t="shared" si="2"/>
        <v>0.0203007194518806</v>
      </c>
      <c r="L12" s="78">
        <f t="shared" si="3"/>
        <v>0.794910265347197</v>
      </c>
      <c r="M12" s="78">
        <f t="shared" si="4"/>
        <v>0.205089734652803</v>
      </c>
      <c r="N12" s="78">
        <f t="shared" si="11"/>
        <v>0.377288539753005</v>
      </c>
      <c r="O12" s="78">
        <f t="shared" si="12"/>
        <v>0.0973418131311848</v>
      </c>
      <c r="P12" s="40">
        <f t="shared" ref="P12:U12" si="22">P11</f>
        <v>0.769954380786832</v>
      </c>
      <c r="Q12" s="40">
        <f>IF(VLOOKUP(11,A2:C27,3,0)&gt;(24-'倾向-优先级表'!I13),VLOOKUP(11,A2:C27,3,0),24-'倾向-优先级表'!I13)</f>
        <v>8</v>
      </c>
      <c r="R12" s="40">
        <f t="shared" si="5"/>
        <v>0.778734505049478</v>
      </c>
      <c r="S12" s="40">
        <f t="shared" si="22"/>
        <v>1</v>
      </c>
      <c r="T12" s="40">
        <f t="shared" si="22"/>
        <v>14</v>
      </c>
      <c r="U12" s="40">
        <f t="shared" si="22"/>
        <v>0.383357370947197</v>
      </c>
      <c r="V12" s="40">
        <f t="shared" si="6"/>
        <v>0.0973418131311848</v>
      </c>
      <c r="W12" s="103">
        <f t="shared" si="7"/>
        <v>0.11527601066692</v>
      </c>
      <c r="X12" s="32">
        <f>VLOOKUP(G12,G33:L58,6,0)</f>
        <v>12000</v>
      </c>
      <c r="Y12" s="32">
        <f>VLOOKUP(G12,G33:L58,4,0)</f>
        <v>4988.18181818182</v>
      </c>
      <c r="Z12" s="32">
        <f t="shared" si="8"/>
        <v>1168.10175757422</v>
      </c>
      <c r="AA12" s="32">
        <f t="shared" si="9"/>
        <v>485.558662409828</v>
      </c>
      <c r="AB12" s="32"/>
      <c r="AC12" s="32"/>
      <c r="AD12" s="32"/>
    </row>
    <row r="13" ht="15.6" spans="1:30">
      <c r="A13" s="41">
        <f>数据表!I14</f>
        <v>5</v>
      </c>
      <c r="B13" s="42" t="s">
        <v>238</v>
      </c>
      <c r="C13" s="43">
        <v>0.5</v>
      </c>
      <c r="D13" s="44">
        <v>129</v>
      </c>
      <c r="E13" s="45">
        <f>D28*D13</f>
        <v>77.4</v>
      </c>
      <c r="F13" s="39">
        <v>12</v>
      </c>
      <c r="G13" s="40" t="str">
        <f>VLOOKUP(12,数据表!C1:D26,2,0)</f>
        <v>舰装解析2h</v>
      </c>
      <c r="H13" s="40">
        <f>VLOOKUP(G13,B2:E27,4,0)</f>
        <v>1588</v>
      </c>
      <c r="I13" s="78">
        <f t="shared" si="10"/>
        <v>28088.67</v>
      </c>
      <c r="J13" s="78">
        <f t="shared" si="1"/>
        <v>0.0565352506900469</v>
      </c>
      <c r="K13" s="78">
        <f t="shared" si="2"/>
        <v>0.018845083563349</v>
      </c>
      <c r="L13" s="78">
        <f t="shared" si="3"/>
        <v>0.808448209497066</v>
      </c>
      <c r="M13" s="78">
        <f t="shared" si="4"/>
        <v>0.191551790502934</v>
      </c>
      <c r="N13" s="78">
        <f t="shared" si="11"/>
        <v>0.30501824442708</v>
      </c>
      <c r="O13" s="78">
        <f t="shared" si="12"/>
        <v>0.0722702953259257</v>
      </c>
      <c r="P13" s="40">
        <f t="shared" ref="P13:U13" si="23">P12</f>
        <v>0.769954380786832</v>
      </c>
      <c r="Q13" s="40">
        <f>IF(VLOOKUP(12,A2:C27,3,0)&gt;(24-'倾向-优先级表'!I13),VLOOKUP(12,A2:C27,3,0),24-'倾向-优先级表'!I13)</f>
        <v>8</v>
      </c>
      <c r="R13" s="40">
        <f t="shared" si="5"/>
        <v>0.578162362607406</v>
      </c>
      <c r="S13" s="40">
        <f t="shared" si="23"/>
        <v>1</v>
      </c>
      <c r="T13" s="40">
        <f t="shared" si="23"/>
        <v>14</v>
      </c>
      <c r="U13" s="40">
        <f t="shared" si="23"/>
        <v>0.383357370947197</v>
      </c>
      <c r="V13" s="40">
        <f t="shared" si="6"/>
        <v>0.0722702953259257</v>
      </c>
      <c r="W13" s="103">
        <f t="shared" si="7"/>
        <v>0.0855853313895577</v>
      </c>
      <c r="X13" s="32">
        <f>VLOOKUP(G13,G33:L58,6,0)</f>
        <v>12000</v>
      </c>
      <c r="Y13" s="32">
        <f>VLOOKUP(G13,G33:L58,4,0)</f>
        <v>4840.14545454545</v>
      </c>
      <c r="Z13" s="32">
        <f t="shared" si="8"/>
        <v>867.243543911109</v>
      </c>
      <c r="AA13" s="32">
        <f t="shared" si="9"/>
        <v>349.798741420437</v>
      </c>
      <c r="AB13" s="32"/>
      <c r="AC13" s="32"/>
      <c r="AD13" s="32"/>
    </row>
    <row r="14" ht="15.6" spans="1:30">
      <c r="A14" s="41">
        <f>数据表!I15</f>
        <v>14</v>
      </c>
      <c r="B14" s="42" t="s">
        <v>239</v>
      </c>
      <c r="C14" s="43">
        <v>2.5</v>
      </c>
      <c r="D14" s="44"/>
      <c r="E14" s="45">
        <f>D29*D10</f>
        <v>1926.8</v>
      </c>
      <c r="F14" s="39">
        <v>13</v>
      </c>
      <c r="G14" s="40" t="str">
        <f>VLOOKUP(13,数据表!C1:D26,2,0)</f>
        <v>心智补全0.5h</v>
      </c>
      <c r="H14" s="40">
        <f>VLOOKUP(G14,B2:E27,4,0)</f>
        <v>44</v>
      </c>
      <c r="I14" s="78">
        <f t="shared" si="10"/>
        <v>26500.67</v>
      </c>
      <c r="J14" s="78">
        <f t="shared" si="1"/>
        <v>0.00166033538019982</v>
      </c>
      <c r="K14" s="78">
        <f t="shared" si="2"/>
        <v>0.000553445126733274</v>
      </c>
      <c r="L14" s="78">
        <f t="shared" si="3"/>
        <v>0.993926178226017</v>
      </c>
      <c r="M14" s="78">
        <f t="shared" si="4"/>
        <v>0.00607382177398286</v>
      </c>
      <c r="N14" s="78">
        <f t="shared" si="11"/>
        <v>0.303165617972616</v>
      </c>
      <c r="O14" s="78">
        <f t="shared" si="12"/>
        <v>0.00185262645446322</v>
      </c>
      <c r="P14" s="40">
        <f t="shared" ref="P14:U14" si="24">P13</f>
        <v>0.769954380786832</v>
      </c>
      <c r="Q14" s="40">
        <f>IF(VLOOKUP(13,A2:C27,3,0)&gt;(24-'倾向-优先级表'!I13),VLOOKUP(13,A2:C27,3,0),24-'倾向-优先级表'!I13)</f>
        <v>8</v>
      </c>
      <c r="R14" s="40">
        <f t="shared" si="5"/>
        <v>0.0148210116357058</v>
      </c>
      <c r="S14" s="40">
        <f t="shared" si="24"/>
        <v>1</v>
      </c>
      <c r="T14" s="40">
        <f t="shared" si="24"/>
        <v>14</v>
      </c>
      <c r="U14" s="40">
        <f t="shared" si="24"/>
        <v>0.383357370947197</v>
      </c>
      <c r="V14" s="40">
        <f t="shared" si="6"/>
        <v>0.00185262645446322</v>
      </c>
      <c r="W14" s="103">
        <f t="shared" si="7"/>
        <v>0.0021939532463681</v>
      </c>
      <c r="X14" s="32">
        <f>VLOOKUP(G14,G33:L58,6,0)</f>
        <v>15000</v>
      </c>
      <c r="Y14" s="32">
        <f>VLOOKUP(G14,G33:L58,4,0)</f>
        <v>5582.28545454545</v>
      </c>
      <c r="Z14" s="32">
        <f t="shared" si="8"/>
        <v>27.7893968169483</v>
      </c>
      <c r="AA14" s="32">
        <f t="shared" si="9"/>
        <v>10.3418897094561</v>
      </c>
      <c r="AB14" s="32"/>
      <c r="AC14" s="32"/>
      <c r="AD14" s="32"/>
    </row>
    <row r="15" ht="15.6" spans="1:30">
      <c r="A15" s="41">
        <f>数据表!I16</f>
        <v>9</v>
      </c>
      <c r="B15" s="42" t="s">
        <v>240</v>
      </c>
      <c r="C15" s="43">
        <v>5</v>
      </c>
      <c r="D15" s="44"/>
      <c r="E15" s="45">
        <f>D29*D11</f>
        <v>1214.4</v>
      </c>
      <c r="F15" s="39">
        <v>14</v>
      </c>
      <c r="G15" s="40" t="str">
        <f>VLOOKUP(14,数据表!C1:D26,2,0)</f>
        <v>彩船定向2.5h</v>
      </c>
      <c r="H15" s="40">
        <f>VLOOKUP(G15,B2:E27,4,0)</f>
        <v>1926.8</v>
      </c>
      <c r="I15" s="78">
        <f t="shared" si="10"/>
        <v>26456.67</v>
      </c>
      <c r="J15" s="78">
        <f t="shared" si="1"/>
        <v>0.0728285154556488</v>
      </c>
      <c r="K15" s="78">
        <f t="shared" si="2"/>
        <v>0.0242761718185496</v>
      </c>
      <c r="L15" s="78">
        <f t="shared" si="3"/>
        <v>0.758811704148941</v>
      </c>
      <c r="M15" s="78">
        <f t="shared" si="4"/>
        <v>0.241188295851059</v>
      </c>
      <c r="N15" s="78">
        <f t="shared" si="11"/>
        <v>0.230045619213168</v>
      </c>
      <c r="O15" s="78">
        <f t="shared" si="12"/>
        <v>0.0731199987594486</v>
      </c>
      <c r="P15" s="40">
        <f t="shared" ref="P15:U15" si="25">P14</f>
        <v>0.769954380786832</v>
      </c>
      <c r="Q15" s="40">
        <f>IF(VLOOKUP(14,A2:C27,3,0)&gt;(24-'倾向-优先级表'!I13),VLOOKUP(14,A2:C27,3,0),24-'倾向-优先级表'!I13)</f>
        <v>8</v>
      </c>
      <c r="R15" s="40">
        <f t="shared" si="5"/>
        <v>0.584959990075589</v>
      </c>
      <c r="S15" s="40">
        <f t="shared" si="25"/>
        <v>1</v>
      </c>
      <c r="T15" s="40">
        <f t="shared" si="25"/>
        <v>14</v>
      </c>
      <c r="U15" s="40">
        <f t="shared" si="25"/>
        <v>0.383357370947197</v>
      </c>
      <c r="V15" s="40">
        <f t="shared" si="6"/>
        <v>0.0731199987594486</v>
      </c>
      <c r="W15" s="103">
        <f t="shared" si="7"/>
        <v>0.0865915836763781</v>
      </c>
      <c r="X15" s="32">
        <f>VLOOKUP(G15,G33:L58,6,0)</f>
        <v>12000</v>
      </c>
      <c r="Y15" s="32">
        <f>VLOOKUP(G15,G33:L58,4,0)</f>
        <v>3765.27272727273</v>
      </c>
      <c r="Z15" s="32">
        <f t="shared" si="8"/>
        <v>877.439985113383</v>
      </c>
      <c r="AA15" s="32">
        <f t="shared" si="9"/>
        <v>275.316737147168</v>
      </c>
      <c r="AB15" s="32"/>
      <c r="AC15" s="32"/>
      <c r="AD15" s="32"/>
    </row>
    <row r="16" ht="15.6" spans="1:30">
      <c r="A16" s="41">
        <f>数据表!I17</f>
        <v>4</v>
      </c>
      <c r="B16" s="42" t="s">
        <v>241</v>
      </c>
      <c r="C16" s="43">
        <v>8</v>
      </c>
      <c r="D16" s="44"/>
      <c r="E16" s="45">
        <f>D29*D12</f>
        <v>286.4</v>
      </c>
      <c r="F16" s="39">
        <v>15</v>
      </c>
      <c r="G16" s="40" t="str">
        <f>VLOOKUP(15,数据表!C1:D26,2,0)</f>
        <v>基础研究6h</v>
      </c>
      <c r="H16" s="40">
        <f>VLOOKUP(G16,B2:E27,4,0)</f>
        <v>1757</v>
      </c>
      <c r="I16" s="78">
        <f t="shared" si="10"/>
        <v>24529.87</v>
      </c>
      <c r="J16" s="78">
        <f t="shared" si="1"/>
        <v>0.0716269592949331</v>
      </c>
      <c r="K16" s="78">
        <f t="shared" si="2"/>
        <v>0.023875653098311</v>
      </c>
      <c r="L16" s="78">
        <f t="shared" si="3"/>
        <v>0.762391159370985</v>
      </c>
      <c r="M16" s="78">
        <f t="shared" si="4"/>
        <v>0.237608840629015</v>
      </c>
      <c r="N16" s="78">
        <f t="shared" si="11"/>
        <v>0.175384746340143</v>
      </c>
      <c r="O16" s="78">
        <f t="shared" si="12"/>
        <v>0.0546608728730247</v>
      </c>
      <c r="P16" s="40">
        <f t="shared" ref="P16:U16" si="26">P15</f>
        <v>0.769954380786832</v>
      </c>
      <c r="Q16" s="40">
        <f>IF(VLOOKUP(15,A2:C27,3,0)&gt;(24-'倾向-优先级表'!I13),VLOOKUP(15,A2:C27,3,0),24-'倾向-优先级表'!I13)</f>
        <v>8</v>
      </c>
      <c r="R16" s="40">
        <f t="shared" si="5"/>
        <v>0.437286982984197</v>
      </c>
      <c r="S16" s="40">
        <f t="shared" si="26"/>
        <v>1</v>
      </c>
      <c r="T16" s="40">
        <f t="shared" si="26"/>
        <v>14</v>
      </c>
      <c r="U16" s="40">
        <f t="shared" si="26"/>
        <v>0.383357370947197</v>
      </c>
      <c r="V16" s="40">
        <f t="shared" si="6"/>
        <v>0</v>
      </c>
      <c r="W16" s="103">
        <f t="shared" si="7"/>
        <v>0.0209546485182817</v>
      </c>
      <c r="X16" s="32">
        <f>VLOOKUP(G16,G33:L58,6,0)</f>
        <v>12000</v>
      </c>
      <c r="Y16" s="32">
        <f>VLOOKUP(G16,G33:L58,4,0)</f>
        <v>3707.34545454545</v>
      </c>
      <c r="Z16" s="32">
        <f t="shared" si="8"/>
        <v>655.930474476296</v>
      </c>
      <c r="AA16" s="32">
        <f t="shared" si="9"/>
        <v>202.646738587295</v>
      </c>
      <c r="AB16" s="32"/>
      <c r="AC16" s="32"/>
      <c r="AD16" s="32"/>
    </row>
    <row r="17" ht="15.6" spans="1:30">
      <c r="A17" s="41">
        <f>数据表!I18</f>
        <v>2</v>
      </c>
      <c r="B17" s="42" t="s">
        <v>243</v>
      </c>
      <c r="C17" s="43">
        <v>0.5</v>
      </c>
      <c r="D17" s="44"/>
      <c r="E17" s="45">
        <f>D29*D13</f>
        <v>51.6</v>
      </c>
      <c r="F17" s="39">
        <v>16</v>
      </c>
      <c r="G17" s="40" t="str">
        <f>VLOOKUP(16,数据表!C1:D26,2,0)</f>
        <v>金船定向2.5h</v>
      </c>
      <c r="H17" s="40">
        <f>VLOOKUP(G17,B2:E27,4,0)</f>
        <v>2890.2</v>
      </c>
      <c r="I17" s="78">
        <f t="shared" si="10"/>
        <v>22772.87</v>
      </c>
      <c r="J17" s="78">
        <f t="shared" si="1"/>
        <v>0.126914174629724</v>
      </c>
      <c r="K17" s="78">
        <f t="shared" si="2"/>
        <v>0.0423047248765746</v>
      </c>
      <c r="L17" s="78">
        <f t="shared" si="3"/>
        <v>0.61041542840002</v>
      </c>
      <c r="M17" s="78">
        <f t="shared" si="4"/>
        <v>0.38958457159998</v>
      </c>
      <c r="N17" s="78">
        <f t="shared" si="11"/>
        <v>0.107057555072047</v>
      </c>
      <c r="O17" s="78">
        <f t="shared" si="12"/>
        <v>0.0683271912680958</v>
      </c>
      <c r="P17" s="40">
        <f t="shared" ref="P17:U17" si="27">P16</f>
        <v>0.769954380786832</v>
      </c>
      <c r="Q17" s="40">
        <f>IF(VLOOKUP(16,A2:C27,3,0)&gt;(24-'倾向-优先级表'!I13),VLOOKUP(16,A2:C27,3,0),24-'倾向-优先级表'!I13)</f>
        <v>8</v>
      </c>
      <c r="R17" s="40">
        <f t="shared" si="5"/>
        <v>0.546617530144767</v>
      </c>
      <c r="S17" s="40">
        <f t="shared" si="27"/>
        <v>1</v>
      </c>
      <c r="T17" s="40">
        <f t="shared" si="27"/>
        <v>14</v>
      </c>
      <c r="U17" s="40">
        <f t="shared" si="27"/>
        <v>0.383357370947197</v>
      </c>
      <c r="V17" s="40">
        <f t="shared" si="6"/>
        <v>0</v>
      </c>
      <c r="W17" s="103">
        <f t="shared" si="7"/>
        <v>0.0261937324087435</v>
      </c>
      <c r="X17" s="32">
        <f>VLOOKUP(G17,G33:L58,6,0)</f>
        <v>12000</v>
      </c>
      <c r="Y17" s="32">
        <f>VLOOKUP(G17,G33:L58,4,0)</f>
        <v>3282.54545454545</v>
      </c>
      <c r="Z17" s="32">
        <f t="shared" si="8"/>
        <v>819.92629521715</v>
      </c>
      <c r="AA17" s="32">
        <f t="shared" si="9"/>
        <v>224.287111118946</v>
      </c>
      <c r="AB17" s="32"/>
      <c r="AC17" s="32"/>
      <c r="AD17" s="32"/>
    </row>
    <row r="18" ht="15.6" spans="1:30">
      <c r="A18" s="41">
        <f>数据表!I19</f>
        <v>21</v>
      </c>
      <c r="B18" s="42" t="s">
        <v>244</v>
      </c>
      <c r="C18" s="43">
        <v>1.5</v>
      </c>
      <c r="D18" s="44">
        <v>3436</v>
      </c>
      <c r="E18" s="45">
        <f t="shared" ref="E18:E27" si="28">D18</f>
        <v>3436</v>
      </c>
      <c r="F18" s="39">
        <v>17</v>
      </c>
      <c r="G18" s="40" t="str">
        <f>VLOOKUP(17,数据表!C1:D26,2,0)</f>
        <v>基础研究12h</v>
      </c>
      <c r="H18" s="40">
        <f>VLOOKUP(G18,B2:E27,4,0)</f>
        <v>452</v>
      </c>
      <c r="I18" s="78">
        <f t="shared" si="10"/>
        <v>19882.67</v>
      </c>
      <c r="J18" s="78">
        <f t="shared" si="1"/>
        <v>0.0227333652874589</v>
      </c>
      <c r="K18" s="78">
        <f t="shared" si="2"/>
        <v>0.00757778842915296</v>
      </c>
      <c r="L18" s="78">
        <f t="shared" si="3"/>
        <v>0.919246883599463</v>
      </c>
      <c r="M18" s="78">
        <f t="shared" si="4"/>
        <v>0.0807531164005372</v>
      </c>
      <c r="N18" s="78">
        <f t="shared" si="11"/>
        <v>0.0984123238657574</v>
      </c>
      <c r="O18" s="78">
        <f t="shared" si="12"/>
        <v>0.00864523120628996</v>
      </c>
      <c r="P18" s="40">
        <f t="shared" ref="P18:U18" si="29">P17</f>
        <v>0.769954380786832</v>
      </c>
      <c r="Q18" s="40">
        <f>IF(VLOOKUP(17,A2:C27,3,0)&gt;(24-'倾向-优先级表'!I13),VLOOKUP(17,A2:C27,3,0),24-'倾向-优先级表'!I13)</f>
        <v>12</v>
      </c>
      <c r="R18" s="40">
        <f t="shared" si="5"/>
        <v>0.103742774475479</v>
      </c>
      <c r="S18" s="40">
        <f t="shared" si="29"/>
        <v>1</v>
      </c>
      <c r="T18" s="40">
        <f t="shared" si="29"/>
        <v>14</v>
      </c>
      <c r="U18" s="40">
        <f t="shared" si="29"/>
        <v>0.383357370947197</v>
      </c>
      <c r="V18" s="40">
        <f t="shared" si="6"/>
        <v>0</v>
      </c>
      <c r="W18" s="103">
        <f t="shared" si="7"/>
        <v>0.00331421310647398</v>
      </c>
      <c r="X18" s="32">
        <f>VLOOKUP(G18,G33:L58,6,0)</f>
        <v>18000</v>
      </c>
      <c r="Y18" s="32">
        <f>VLOOKUP(G18,G33:L58,4,0)</f>
        <v>6410.61818181818</v>
      </c>
      <c r="Z18" s="32">
        <f t="shared" si="8"/>
        <v>155.614161713219</v>
      </c>
      <c r="AA18" s="32">
        <f t="shared" si="9"/>
        <v>55.4212763570643</v>
      </c>
      <c r="AB18" s="32"/>
      <c r="AC18" s="32"/>
      <c r="AD18" s="32"/>
    </row>
    <row r="19" ht="15.6" spans="1:30">
      <c r="A19" s="41">
        <f>数据表!I20</f>
        <v>18</v>
      </c>
      <c r="B19" s="46" t="s">
        <v>245</v>
      </c>
      <c r="C19" s="43">
        <v>2.5</v>
      </c>
      <c r="D19" s="44">
        <v>2346</v>
      </c>
      <c r="E19" s="45">
        <f t="shared" si="28"/>
        <v>2346</v>
      </c>
      <c r="F19" s="39">
        <v>18</v>
      </c>
      <c r="G19" s="40" t="str">
        <f>VLOOKUP(18,数据表!C1:D26,2,0)</f>
        <v>资金募集2.5h</v>
      </c>
      <c r="H19" s="40">
        <f>VLOOKUP(G19,B2:E27,4,0)</f>
        <v>2346</v>
      </c>
      <c r="I19" s="78">
        <f t="shared" si="10"/>
        <v>19430.67</v>
      </c>
      <c r="J19" s="78">
        <f t="shared" si="1"/>
        <v>0.120736958632924</v>
      </c>
      <c r="K19" s="78">
        <f t="shared" si="2"/>
        <v>0.0402456528776414</v>
      </c>
      <c r="L19" s="78">
        <f t="shared" si="3"/>
        <v>0.626147471942394</v>
      </c>
      <c r="M19" s="78">
        <f t="shared" si="4"/>
        <v>0.373852528057606</v>
      </c>
      <c r="N19" s="78">
        <f t="shared" si="11"/>
        <v>0.0616206277965201</v>
      </c>
      <c r="O19" s="78">
        <f t="shared" si="12"/>
        <v>0.0367916960692373</v>
      </c>
      <c r="P19" s="40">
        <f t="shared" ref="P19:U19" si="30">P18</f>
        <v>0.769954380786832</v>
      </c>
      <c r="Q19" s="40">
        <f>IF(VLOOKUP(18,A2:C27,3,0)&gt;(24-'倾向-优先级表'!I13),VLOOKUP(18,A2:C27,3,0),24-'倾向-优先级表'!I13)</f>
        <v>8</v>
      </c>
      <c r="R19" s="40">
        <f t="shared" si="5"/>
        <v>0.294333568553898</v>
      </c>
      <c r="S19" s="40">
        <f t="shared" si="30"/>
        <v>1</v>
      </c>
      <c r="T19" s="40">
        <f t="shared" si="30"/>
        <v>14</v>
      </c>
      <c r="U19" s="40">
        <f t="shared" si="30"/>
        <v>0.383357370947197</v>
      </c>
      <c r="V19" s="40">
        <f t="shared" si="6"/>
        <v>0</v>
      </c>
      <c r="W19" s="103">
        <f t="shared" si="7"/>
        <v>0.0141043678777911</v>
      </c>
      <c r="X19" s="32">
        <f>VLOOKUP(G19,G33:L58,6,0)</f>
        <v>12000</v>
      </c>
      <c r="Y19" s="32">
        <f>VLOOKUP(G19,G33:L58,4,0)</f>
        <v>2848.09090909091</v>
      </c>
      <c r="Z19" s="32">
        <f t="shared" si="8"/>
        <v>441.500352830847</v>
      </c>
      <c r="AA19" s="32">
        <f t="shared" si="9"/>
        <v>104.78609510483</v>
      </c>
      <c r="AB19" s="32"/>
      <c r="AC19" s="32"/>
      <c r="AD19" s="32"/>
    </row>
    <row r="20" ht="15.6" spans="1:30">
      <c r="A20" s="41">
        <f>数据表!I21</f>
        <v>7</v>
      </c>
      <c r="B20" s="42" t="s">
        <v>246</v>
      </c>
      <c r="C20" s="43">
        <v>4</v>
      </c>
      <c r="D20" s="44">
        <v>1793</v>
      </c>
      <c r="E20" s="45">
        <f t="shared" si="28"/>
        <v>1793</v>
      </c>
      <c r="F20" s="39">
        <v>19</v>
      </c>
      <c r="G20" s="40" t="str">
        <f>VLOOKUP(19,数据表!C1:D26,2,0)</f>
        <v>舰装解析1h</v>
      </c>
      <c r="H20" s="40">
        <f>VLOOKUP(G20,B2:E27,4,0)</f>
        <v>3173</v>
      </c>
      <c r="I20" s="78">
        <f t="shared" si="10"/>
        <v>17084.67</v>
      </c>
      <c r="J20" s="78">
        <f t="shared" si="1"/>
        <v>0.185722053747599</v>
      </c>
      <c r="K20" s="78">
        <f t="shared" si="2"/>
        <v>0.0619073512491998</v>
      </c>
      <c r="L20" s="78">
        <f t="shared" si="3"/>
        <v>0.475126751040941</v>
      </c>
      <c r="M20" s="78">
        <f t="shared" si="4"/>
        <v>0.524873248959059</v>
      </c>
      <c r="N20" s="78">
        <f t="shared" si="11"/>
        <v>0.0292776086820637</v>
      </c>
      <c r="O20" s="78">
        <f t="shared" si="12"/>
        <v>0.0323430191144564</v>
      </c>
      <c r="P20" s="40">
        <f t="shared" ref="P20:U20" si="31">P19</f>
        <v>0.769954380786832</v>
      </c>
      <c r="Q20" s="40">
        <f>IF(VLOOKUP(19,A2:C27,3,0)&gt;(24-'倾向-优先级表'!I13),VLOOKUP(19,A2:C27,3,0),24-'倾向-优先级表'!I13)</f>
        <v>8</v>
      </c>
      <c r="R20" s="40">
        <f t="shared" si="5"/>
        <v>0.258744152915651</v>
      </c>
      <c r="S20" s="40">
        <f t="shared" si="31"/>
        <v>1</v>
      </c>
      <c r="T20" s="40">
        <f t="shared" si="31"/>
        <v>14</v>
      </c>
      <c r="U20" s="40">
        <f t="shared" si="31"/>
        <v>0.383357370947197</v>
      </c>
      <c r="V20" s="40">
        <f t="shared" si="6"/>
        <v>0</v>
      </c>
      <c r="W20" s="103">
        <f t="shared" si="7"/>
        <v>0.0123989347762129</v>
      </c>
      <c r="X20" s="32">
        <f>VLOOKUP(G20,G33:L58,6,0)</f>
        <v>12000</v>
      </c>
      <c r="Y20" s="32">
        <f>VLOOKUP(G20,G33:L58,4,0)</f>
        <v>2677.52727272727</v>
      </c>
      <c r="Z20" s="32">
        <f t="shared" si="8"/>
        <v>388.116229373477</v>
      </c>
      <c r="AA20" s="32">
        <f t="shared" si="9"/>
        <v>86.5993157612964</v>
      </c>
      <c r="AB20" s="32"/>
      <c r="AC20" s="32"/>
      <c r="AD20" s="32"/>
    </row>
    <row r="21" ht="15.6" spans="1:30">
      <c r="A21" s="41">
        <f>数据表!I22</f>
        <v>22</v>
      </c>
      <c r="B21" s="42" t="s">
        <v>248</v>
      </c>
      <c r="C21" s="43">
        <v>2</v>
      </c>
      <c r="D21" s="44">
        <v>709</v>
      </c>
      <c r="E21" s="45">
        <f t="shared" si="28"/>
        <v>709</v>
      </c>
      <c r="F21" s="39">
        <v>20</v>
      </c>
      <c r="G21" s="40" t="str">
        <f>VLOOKUP(20,数据表!C1:D26,2,0)</f>
        <v>试验品募集2h紫</v>
      </c>
      <c r="H21" s="40">
        <f>VLOOKUP(G21,B2:E27,4,0)</f>
        <v>482</v>
      </c>
      <c r="I21" s="78">
        <f t="shared" si="10"/>
        <v>13911.67</v>
      </c>
      <c r="J21" s="78">
        <f t="shared" si="1"/>
        <v>0.0346471703253456</v>
      </c>
      <c r="K21" s="78">
        <f t="shared" si="2"/>
        <v>0.0115490567751152</v>
      </c>
      <c r="L21" s="78">
        <f t="shared" si="3"/>
        <v>0.878958685792163</v>
      </c>
      <c r="M21" s="78">
        <f t="shared" si="4"/>
        <v>0.121041314207837</v>
      </c>
      <c r="N21" s="78">
        <f t="shared" si="11"/>
        <v>0.0257338084503239</v>
      </c>
      <c r="O21" s="78">
        <f t="shared" si="12"/>
        <v>0.00354380023173976</v>
      </c>
      <c r="P21" s="40">
        <f t="shared" ref="P21:U21" si="32">P20</f>
        <v>0.769954380786832</v>
      </c>
      <c r="Q21" s="40">
        <f>IF(VLOOKUP(20,A2:C27,3,0)&gt;(24-'倾向-优先级表'!I13),VLOOKUP(20,A2:C27,3,0),24-'倾向-优先级表'!I13)</f>
        <v>8</v>
      </c>
      <c r="R21" s="40">
        <f t="shared" si="5"/>
        <v>0.0283504018539181</v>
      </c>
      <c r="S21" s="40">
        <f t="shared" si="32"/>
        <v>1</v>
      </c>
      <c r="T21" s="40">
        <f t="shared" si="32"/>
        <v>14</v>
      </c>
      <c r="U21" s="40">
        <f t="shared" si="32"/>
        <v>0.383357370947197</v>
      </c>
      <c r="V21" s="40">
        <f t="shared" si="6"/>
        <v>0</v>
      </c>
      <c r="W21" s="103">
        <f t="shared" si="7"/>
        <v>0.00135854194000182</v>
      </c>
      <c r="X21" s="32">
        <f>VLOOKUP(G21,G33:L58,6,0)</f>
        <v>12000</v>
      </c>
      <c r="Y21" s="32">
        <f>VLOOKUP(G21,G33:L58,4,0)</f>
        <v>2162.61818181818</v>
      </c>
      <c r="Z21" s="32">
        <f t="shared" si="8"/>
        <v>42.5256027808771</v>
      </c>
      <c r="AA21" s="32">
        <f t="shared" si="9"/>
        <v>7.66388681389188</v>
      </c>
      <c r="AB21" s="32"/>
      <c r="AC21" s="32"/>
      <c r="AD21" s="32"/>
    </row>
    <row r="22" ht="15.6" spans="1:30">
      <c r="A22" s="41">
        <f>数据表!I23</f>
        <v>20</v>
      </c>
      <c r="B22" s="42" t="s">
        <v>249</v>
      </c>
      <c r="C22" s="43">
        <v>2</v>
      </c>
      <c r="D22" s="44">
        <v>482</v>
      </c>
      <c r="E22" s="45">
        <f t="shared" si="28"/>
        <v>482</v>
      </c>
      <c r="F22" s="39">
        <v>21</v>
      </c>
      <c r="G22" s="40" t="str">
        <f>VLOOKUP(21,数据表!C1:D26,2,0)</f>
        <v>资金募集1.5h</v>
      </c>
      <c r="H22" s="40">
        <f>VLOOKUP(G22,B2:E27,4,0)</f>
        <v>3436</v>
      </c>
      <c r="I22" s="78">
        <f t="shared" si="10"/>
        <v>13429.67</v>
      </c>
      <c r="J22" s="78">
        <f t="shared" si="1"/>
        <v>0.255851409602768</v>
      </c>
      <c r="K22" s="78">
        <f t="shared" si="2"/>
        <v>0.0852838032009225</v>
      </c>
      <c r="L22" s="78">
        <f t="shared" si="3"/>
        <v>0.344787671636953</v>
      </c>
      <c r="M22" s="78">
        <f t="shared" si="4"/>
        <v>0.655212328363048</v>
      </c>
      <c r="N22" s="78">
        <f t="shared" si="11"/>
        <v>0.00887269989793853</v>
      </c>
      <c r="O22" s="78">
        <f t="shared" si="12"/>
        <v>0.0168611085523854</v>
      </c>
      <c r="P22" s="40">
        <f t="shared" ref="P22:U22" si="33">P21</f>
        <v>0.769954380786832</v>
      </c>
      <c r="Q22" s="40">
        <f>IF(VLOOKUP(21,A2:C27,3,0)&gt;(24-'倾向-优先级表'!I13),VLOOKUP(21,A2:C27,3,0),24-'倾向-优先级表'!I13)</f>
        <v>8</v>
      </c>
      <c r="R22" s="40">
        <f t="shared" si="5"/>
        <v>0.134888868419083</v>
      </c>
      <c r="S22" s="40">
        <f t="shared" si="33"/>
        <v>1</v>
      </c>
      <c r="T22" s="40">
        <f t="shared" si="33"/>
        <v>14</v>
      </c>
      <c r="U22" s="40">
        <f t="shared" si="33"/>
        <v>0.383357370947197</v>
      </c>
      <c r="V22" s="40">
        <f t="shared" si="6"/>
        <v>0</v>
      </c>
      <c r="W22" s="103">
        <f t="shared" si="7"/>
        <v>0.00646383024589777</v>
      </c>
      <c r="X22" s="32">
        <f>VLOOKUP(G22,G33:L58,6,0)</f>
        <v>12000</v>
      </c>
      <c r="Y22" s="32">
        <f>VLOOKUP(G22,G33:L58,4,0)</f>
        <v>2085.38181818182</v>
      </c>
      <c r="Z22" s="32">
        <f t="shared" si="8"/>
        <v>202.333302628625</v>
      </c>
      <c r="AA22" s="32">
        <f t="shared" si="9"/>
        <v>35.1618492095345</v>
      </c>
      <c r="AB22" s="32"/>
      <c r="AC22" s="32"/>
      <c r="AD22" s="32"/>
    </row>
    <row r="23" ht="15.6" spans="1:30">
      <c r="A23" s="41">
        <f>数据表!I24</f>
        <v>8</v>
      </c>
      <c r="B23" s="42" t="s">
        <v>250</v>
      </c>
      <c r="C23" s="43">
        <v>4</v>
      </c>
      <c r="D23" s="44">
        <v>361</v>
      </c>
      <c r="E23" s="45">
        <f t="shared" si="28"/>
        <v>361</v>
      </c>
      <c r="F23" s="39">
        <v>22</v>
      </c>
      <c r="G23" s="40" t="str">
        <f>VLOOKUP(22,数据表!C1:D26,2,0)</f>
        <v>试验品募集2h蓝</v>
      </c>
      <c r="H23" s="40">
        <f>VLOOKUP(G23,B2:E27,4,0)</f>
        <v>709</v>
      </c>
      <c r="I23" s="78">
        <f t="shared" si="10"/>
        <v>9993.67</v>
      </c>
      <c r="J23" s="78">
        <f t="shared" si="1"/>
        <v>0.0709449081268443</v>
      </c>
      <c r="K23" s="78">
        <f t="shared" si="2"/>
        <v>0.0236483027089481</v>
      </c>
      <c r="L23" s="78">
        <f t="shared" si="3"/>
        <v>0.764428683935936</v>
      </c>
      <c r="M23" s="78">
        <f t="shared" si="4"/>
        <v>0.235571316064064</v>
      </c>
      <c r="N23" s="78">
        <f t="shared" si="11"/>
        <v>0.00678254630593966</v>
      </c>
      <c r="O23" s="78">
        <f t="shared" si="12"/>
        <v>0.00209015359199887</v>
      </c>
      <c r="P23" s="40">
        <f t="shared" ref="P23:U23" si="34">P22</f>
        <v>0.769954380786832</v>
      </c>
      <c r="Q23" s="40">
        <f>IF(VLOOKUP(22,A2:C27,3,0)&gt;(24-'倾向-优先级表'!I13),VLOOKUP(22,A2:C27,3,0),24-'倾向-优先级表'!I13)</f>
        <v>8</v>
      </c>
      <c r="R23" s="40">
        <f t="shared" si="5"/>
        <v>0.0167212287359909</v>
      </c>
      <c r="S23" s="40">
        <f t="shared" si="34"/>
        <v>1</v>
      </c>
      <c r="T23" s="40">
        <f t="shared" si="34"/>
        <v>14</v>
      </c>
      <c r="U23" s="40">
        <f t="shared" si="34"/>
        <v>0.383357370947197</v>
      </c>
      <c r="V23" s="40">
        <f t="shared" si="6"/>
        <v>0</v>
      </c>
      <c r="W23" s="103">
        <f t="shared" si="7"/>
        <v>0.000801275785904525</v>
      </c>
      <c r="X23" s="32">
        <f>VLOOKUP(G23,G33:L58,6,0)</f>
        <v>12000</v>
      </c>
      <c r="Y23" s="32">
        <f>VLOOKUP(G23,G33:L58,4,0)</f>
        <v>1853.67272727273</v>
      </c>
      <c r="Z23" s="32">
        <f t="shared" si="8"/>
        <v>25.0818431039864</v>
      </c>
      <c r="AA23" s="32">
        <f t="shared" si="9"/>
        <v>3.87446070929943</v>
      </c>
      <c r="AB23" s="32"/>
      <c r="AC23" s="32"/>
      <c r="AD23" s="32"/>
    </row>
    <row r="24" ht="15.6" spans="1:30">
      <c r="A24" s="41">
        <f>数据表!I25</f>
        <v>15</v>
      </c>
      <c r="B24" s="42" t="s">
        <v>252</v>
      </c>
      <c r="C24" s="43">
        <v>6</v>
      </c>
      <c r="D24" s="44">
        <v>1757</v>
      </c>
      <c r="E24" s="45">
        <f t="shared" si="28"/>
        <v>1757</v>
      </c>
      <c r="F24" s="39">
        <v>23</v>
      </c>
      <c r="G24" s="40" t="str">
        <f>VLOOKUP(23,数据表!C1:D26,2,0)</f>
        <v>研究委托3h</v>
      </c>
      <c r="H24" s="40">
        <f>VLOOKUP(G24,B2:E27,4,0)</f>
        <v>769</v>
      </c>
      <c r="I24" s="78">
        <f t="shared" si="10"/>
        <v>9284.67</v>
      </c>
      <c r="J24" s="78">
        <f t="shared" si="1"/>
        <v>0.0828246992084802</v>
      </c>
      <c r="K24" s="78">
        <f t="shared" si="2"/>
        <v>0.0276082330694934</v>
      </c>
      <c r="L24" s="78">
        <f t="shared" si="3"/>
        <v>0.729524024662117</v>
      </c>
      <c r="M24" s="78">
        <f t="shared" si="4"/>
        <v>0.270475975337883</v>
      </c>
      <c r="N24" s="78">
        <f t="shared" si="11"/>
        <v>0.00494803047856628</v>
      </c>
      <c r="O24" s="78">
        <f t="shared" si="12"/>
        <v>0.00183451582737339</v>
      </c>
      <c r="P24" s="40">
        <f t="shared" ref="P24:U24" si="35">P23</f>
        <v>0.769954380786832</v>
      </c>
      <c r="Q24" s="40">
        <f>IF(VLOOKUP(23,A2:C27,3,0)&gt;(24-'倾向-优先级表'!I13),VLOOKUP(23,A2:C27,3,0),24-'倾向-优先级表'!I13)</f>
        <v>8</v>
      </c>
      <c r="R24" s="40">
        <f t="shared" si="5"/>
        <v>0.0146761266189871</v>
      </c>
      <c r="S24" s="40">
        <f t="shared" si="35"/>
        <v>1</v>
      </c>
      <c r="T24" s="40">
        <f t="shared" si="35"/>
        <v>14</v>
      </c>
      <c r="U24" s="40">
        <f t="shared" si="35"/>
        <v>0.383357370947197</v>
      </c>
      <c r="V24" s="40">
        <f t="shared" si="6"/>
        <v>0</v>
      </c>
      <c r="W24" s="103">
        <f t="shared" si="7"/>
        <v>0.000703275164542883</v>
      </c>
      <c r="X24" s="32">
        <f>VLOOKUP(G24,G33:L58,6,0)</f>
        <v>4875</v>
      </c>
      <c r="Y24" s="32">
        <f>VLOOKUP(G24,G33:L58,4,0)</f>
        <v>1699.2</v>
      </c>
      <c r="Z24" s="32">
        <f t="shared" si="8"/>
        <v>8.94326465844526</v>
      </c>
      <c r="AA24" s="32">
        <f t="shared" si="9"/>
        <v>3.11720929387286</v>
      </c>
      <c r="AB24" s="32"/>
      <c r="AC24" s="32"/>
      <c r="AD24" s="32"/>
    </row>
    <row r="25" ht="15.6" spans="1:30">
      <c r="A25" s="41">
        <f>数据表!I26</f>
        <v>10</v>
      </c>
      <c r="B25" s="42" t="s">
        <v>253</v>
      </c>
      <c r="C25" s="43">
        <v>8</v>
      </c>
      <c r="D25" s="44">
        <v>1244</v>
      </c>
      <c r="E25" s="45">
        <f t="shared" si="28"/>
        <v>1244</v>
      </c>
      <c r="F25" s="39">
        <v>24</v>
      </c>
      <c r="G25" s="40" t="str">
        <f>VLOOKUP(24,数据表!C1:D26,2,0)</f>
        <v>魔方解析1h</v>
      </c>
      <c r="H25" s="40">
        <f>VLOOKUP(G25,B2:E27,4,0)</f>
        <v>3995</v>
      </c>
      <c r="I25" s="78">
        <f t="shared" si="10"/>
        <v>8515.67</v>
      </c>
      <c r="J25" s="78">
        <f t="shared" si="1"/>
        <v>0.469135135579467</v>
      </c>
      <c r="K25" s="78">
        <f t="shared" si="2"/>
        <v>0.156378378526489</v>
      </c>
      <c r="L25" s="78">
        <f t="shared" si="3"/>
        <v>0.106474926908887</v>
      </c>
      <c r="M25" s="78">
        <f t="shared" si="4"/>
        <v>0.893525073091113</v>
      </c>
      <c r="N25" s="78">
        <f t="shared" si="11"/>
        <v>0.000526841183548288</v>
      </c>
      <c r="O25" s="78">
        <f t="shared" si="12"/>
        <v>0.00442118929501799</v>
      </c>
      <c r="P25" s="40">
        <f t="shared" ref="P25:U25" si="36">P24</f>
        <v>0.769954380786832</v>
      </c>
      <c r="Q25" s="40">
        <f>IF(VLOOKUP(24,A2:C27,3,0)&gt;(24-'倾向-优先级表'!I13),VLOOKUP(24,A2:C27,3,0),24-'倾向-优先级表'!I13)</f>
        <v>8</v>
      </c>
      <c r="R25" s="40">
        <f t="shared" si="5"/>
        <v>0.0353695143601439</v>
      </c>
      <c r="S25" s="40">
        <f t="shared" si="36"/>
        <v>1</v>
      </c>
      <c r="T25" s="40">
        <f t="shared" si="36"/>
        <v>14</v>
      </c>
      <c r="U25" s="40">
        <f t="shared" si="36"/>
        <v>0.383357370947197</v>
      </c>
      <c r="V25" s="40">
        <f t="shared" si="6"/>
        <v>0</v>
      </c>
      <c r="W25" s="103">
        <f t="shared" si="7"/>
        <v>0.00169489550459799</v>
      </c>
      <c r="X25" s="32">
        <f>VLOOKUP(G25,G33:L58,6,0)</f>
        <v>15000</v>
      </c>
      <c r="Y25" s="32">
        <f>VLOOKUP(G25,G33:L58,4,0)</f>
        <v>3196.14545454545</v>
      </c>
      <c r="Z25" s="32">
        <f t="shared" si="8"/>
        <v>66.3178394252698</v>
      </c>
      <c r="AA25" s="32">
        <f t="shared" si="9"/>
        <v>14.1307640689567</v>
      </c>
      <c r="AB25" s="32"/>
      <c r="AC25" s="32"/>
      <c r="AD25" s="32"/>
    </row>
    <row r="26" ht="15.6" spans="1:30">
      <c r="A26" s="41">
        <f>数据表!I27</f>
        <v>17</v>
      </c>
      <c r="B26" s="42" t="s">
        <v>255</v>
      </c>
      <c r="C26" s="43">
        <v>12</v>
      </c>
      <c r="D26" s="44">
        <v>452</v>
      </c>
      <c r="E26" s="45">
        <f t="shared" si="28"/>
        <v>452</v>
      </c>
      <c r="F26" s="39">
        <v>25</v>
      </c>
      <c r="G26" s="40" t="str">
        <f>VLOOKUP(25,数据表!C1:D26,2,0)</f>
        <v>魔方解析2h</v>
      </c>
      <c r="H26" s="40">
        <f>VLOOKUP(G26,B2:E27,4,0)</f>
        <v>2649</v>
      </c>
      <c r="I26" s="78">
        <f t="shared" si="10"/>
        <v>4520.67</v>
      </c>
      <c r="J26" s="78">
        <f t="shared" si="1"/>
        <v>0.58597508776354</v>
      </c>
      <c r="K26" s="78">
        <f t="shared" si="2"/>
        <v>0.195325029254513</v>
      </c>
      <c r="L26" s="78">
        <f t="shared" si="3"/>
        <v>0.0459536917914029</v>
      </c>
      <c r="M26" s="78">
        <f t="shared" si="4"/>
        <v>0.954046308208597</v>
      </c>
      <c r="N26" s="78">
        <f t="shared" si="11"/>
        <v>2.42102973717959e-5</v>
      </c>
      <c r="O26" s="78">
        <f t="shared" si="12"/>
        <v>0.000502630886176492</v>
      </c>
      <c r="P26" s="40">
        <f t="shared" ref="P26:U26" si="37">P25</f>
        <v>0.769954380786832</v>
      </c>
      <c r="Q26" s="40">
        <f>IF(VLOOKUP(25,A2:C27,3,0)&gt;(24-'倾向-优先级表'!I13),VLOOKUP(25,A2:C27,3,0),24-'倾向-优先级表'!I13)</f>
        <v>8</v>
      </c>
      <c r="R26" s="40">
        <f t="shared" si="5"/>
        <v>0.00402104708941193</v>
      </c>
      <c r="S26" s="40">
        <f t="shared" si="37"/>
        <v>1</v>
      </c>
      <c r="T26" s="40">
        <f t="shared" si="37"/>
        <v>14</v>
      </c>
      <c r="U26" s="40">
        <f t="shared" si="37"/>
        <v>0.383357370947197</v>
      </c>
      <c r="V26" s="40">
        <f t="shared" si="6"/>
        <v>0</v>
      </c>
      <c r="W26" s="103">
        <f t="shared" si="7"/>
        <v>0.00019268725508148</v>
      </c>
      <c r="X26" s="32">
        <f>VLOOKUP(G26,G33:L58,6,0)</f>
        <v>18000</v>
      </c>
      <c r="Y26" s="32">
        <f>VLOOKUP(G26,G33:L58,4,0)</f>
        <v>4637.14909090909</v>
      </c>
      <c r="Z26" s="32">
        <f t="shared" si="8"/>
        <v>9.04735595117685</v>
      </c>
      <c r="AA26" s="32">
        <f t="shared" si="9"/>
        <v>2.33077435689615</v>
      </c>
      <c r="AB26" s="32"/>
      <c r="AC26" s="32"/>
      <c r="AD26" s="32"/>
    </row>
    <row r="27" ht="16.35" spans="1:30">
      <c r="A27" s="47">
        <f>数据表!I28</f>
        <v>23</v>
      </c>
      <c r="B27" s="48" t="s">
        <v>257</v>
      </c>
      <c r="C27" s="49">
        <v>3</v>
      </c>
      <c r="D27" s="50">
        <v>769</v>
      </c>
      <c r="E27" s="51">
        <f t="shared" si="28"/>
        <v>769</v>
      </c>
      <c r="F27" s="52">
        <v>26</v>
      </c>
      <c r="G27" s="53" t="str">
        <f>VLOOKUP(26,数据表!C1:D26,2,0)</f>
        <v>魔方解析4h</v>
      </c>
      <c r="H27" s="53">
        <f>VLOOKUP(G27,B2:E27,4,0)</f>
        <v>591</v>
      </c>
      <c r="I27" s="79">
        <f t="shared" si="10"/>
        <v>1871.67</v>
      </c>
      <c r="J27" s="79">
        <f t="shared" si="1"/>
        <v>0.31576079116511</v>
      </c>
      <c r="K27" s="79">
        <f t="shared" si="2"/>
        <v>0.105253597055037</v>
      </c>
      <c r="L27" s="79">
        <f t="shared" si="3"/>
        <v>0.256462453556646</v>
      </c>
      <c r="M27" s="79">
        <f t="shared" si="4"/>
        <v>0.743537546443354</v>
      </c>
      <c r="N27" s="79">
        <f t="shared" si="11"/>
        <v>6.2090322653068e-6</v>
      </c>
      <c r="O27" s="79">
        <f t="shared" si="12"/>
        <v>1.80012651064891e-5</v>
      </c>
      <c r="P27" s="53">
        <f t="shared" ref="P27:U27" si="38">P26</f>
        <v>0.769954380786832</v>
      </c>
      <c r="Q27" s="53">
        <f>IF(VLOOKUP(26,A2:C27,3,0)&gt;(24-'倾向-优先级表'!I13),VLOOKUP(26,A2:C27,3,0),24-'倾向-优先级表'!I13)</f>
        <v>8</v>
      </c>
      <c r="R27" s="53">
        <f t="shared" si="5"/>
        <v>0.000144010120851913</v>
      </c>
      <c r="S27" s="53">
        <f t="shared" si="38"/>
        <v>1</v>
      </c>
      <c r="T27" s="53">
        <f t="shared" si="38"/>
        <v>14</v>
      </c>
      <c r="U27" s="53">
        <f t="shared" si="38"/>
        <v>0.383357370947197</v>
      </c>
      <c r="V27" s="53">
        <f t="shared" si="6"/>
        <v>0</v>
      </c>
      <c r="W27" s="104">
        <f t="shared" si="7"/>
        <v>6.90091766494718e-6</v>
      </c>
      <c r="X27" s="32">
        <f>VLOOKUP(G27,G33:L58,6,0)</f>
        <v>22000</v>
      </c>
      <c r="Y27" s="32">
        <f>VLOOKUP(G27,G33:L58,4,0)</f>
        <v>6184.66909090909</v>
      </c>
      <c r="Z27" s="32">
        <f t="shared" si="8"/>
        <v>0.396027832342761</v>
      </c>
      <c r="AA27" s="32">
        <f t="shared" si="9"/>
        <v>0.111331867901364</v>
      </c>
      <c r="AB27" s="32"/>
      <c r="AC27" s="32"/>
      <c r="AD27" s="32"/>
    </row>
    <row r="28" spans="1:30">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8.03453125256704</v>
      </c>
      <c r="S28" s="106" t="s">
        <v>316</v>
      </c>
      <c r="T28" s="106">
        <f>P27^R29</f>
        <v>0.769954380786832</v>
      </c>
      <c r="U28" s="106" t="s">
        <v>317</v>
      </c>
      <c r="V28" s="107">
        <f>白天模拟!V28+'倾向-优先级表'!P30*T29+(1-'倾向-优先级表'!P30)*T29^2</f>
        <v>0.383357370947197</v>
      </c>
      <c r="W28" s="32"/>
      <c r="X28" s="32"/>
      <c r="Y28" s="32"/>
      <c r="Z28" s="32">
        <f>SUM(Z2:Z27)</f>
        <v>12119.8436730445</v>
      </c>
      <c r="AA28" s="32">
        <f>SUM(AA2:AA27)</f>
        <v>6403.10831084476</v>
      </c>
      <c r="AB28" s="32">
        <f>100*AA28/Z28</f>
        <v>52.8316080931454</v>
      </c>
      <c r="AC28" s="32"/>
      <c r="AD28" s="32"/>
    </row>
    <row r="29" ht="15.15" spans="1:30">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v>1</v>
      </c>
      <c r="S29" s="57" t="s">
        <v>320</v>
      </c>
      <c r="T29" s="57">
        <f>R29*(1-P2)</f>
        <v>0.230045619213168</v>
      </c>
      <c r="U29" s="100"/>
      <c r="V29" s="101"/>
      <c r="W29" s="32"/>
      <c r="X29" s="32"/>
      <c r="Y29" s="32"/>
      <c r="Z29" s="32"/>
      <c r="AA29" s="32"/>
      <c r="AB29" s="32"/>
      <c r="AC29" s="32"/>
      <c r="AD29" s="32"/>
    </row>
    <row r="30" ht="15.15" spans="1:30">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row>
    <row r="32" ht="15.6" spans="1:30">
      <c r="A32" s="32"/>
      <c r="B32" s="32"/>
      <c r="C32" s="32"/>
      <c r="D32" s="32"/>
      <c r="E32" s="32"/>
      <c r="F32" s="32"/>
      <c r="G32" s="61" t="s">
        <v>215</v>
      </c>
      <c r="H32" s="62" t="s">
        <v>216</v>
      </c>
      <c r="I32" s="82"/>
      <c r="J32" s="82"/>
      <c r="K32" s="82"/>
      <c r="L32" s="83"/>
      <c r="M32" s="65"/>
      <c r="N32" s="61" t="s">
        <v>69</v>
      </c>
      <c r="O32" s="62" t="s">
        <v>74</v>
      </c>
      <c r="P32" s="62" t="s">
        <v>89</v>
      </c>
      <c r="Q32" s="67" t="s">
        <v>330</v>
      </c>
      <c r="R32" s="40" t="s">
        <v>113</v>
      </c>
      <c r="S32" s="62" t="s">
        <v>69</v>
      </c>
      <c r="T32" s="62" t="s">
        <v>74</v>
      </c>
      <c r="U32" s="62" t="s">
        <v>89</v>
      </c>
      <c r="V32" s="40" t="s">
        <v>330</v>
      </c>
      <c r="W32" s="40" t="s">
        <v>113</v>
      </c>
      <c r="X32" s="40"/>
      <c r="Y32" s="40"/>
      <c r="Z32" s="62" t="s">
        <v>112</v>
      </c>
      <c r="AA32" s="62" t="s">
        <v>111</v>
      </c>
      <c r="AB32" s="40" t="s">
        <v>112</v>
      </c>
      <c r="AC32" s="103" t="s">
        <v>111</v>
      </c>
      <c r="AD32" s="32"/>
    </row>
    <row r="33" ht="15.6" spans="1:29">
      <c r="A33" s="32"/>
      <c r="B33" s="32"/>
      <c r="C33" s="32"/>
      <c r="D33" s="32"/>
      <c r="E33" s="32"/>
      <c r="F33" s="32"/>
      <c r="G33" s="41" t="s">
        <v>208</v>
      </c>
      <c r="H33" s="43">
        <v>1</v>
      </c>
      <c r="I33" s="40">
        <f>VLOOKUP(G33,G2:W27,17,0)</f>
        <v>0.00169489550459799</v>
      </c>
      <c r="J33" s="40">
        <f>数据表!T3</f>
        <v>3196.14545454545</v>
      </c>
      <c r="K33" s="40">
        <f t="shared" ref="K33:K58" si="39">J33*I33</f>
        <v>5.41713256295037</v>
      </c>
      <c r="L33" s="40">
        <f>数据表!S3</f>
        <v>15000</v>
      </c>
      <c r="M33" s="65">
        <f t="shared" ref="M33:M58" si="40">I33*L33</f>
        <v>25.4234325689698</v>
      </c>
      <c r="N33" s="84">
        <v>2.8</v>
      </c>
      <c r="O33" s="85">
        <v>0.71</v>
      </c>
      <c r="P33" s="86">
        <v>0</v>
      </c>
      <c r="Q33" s="40">
        <v>0</v>
      </c>
      <c r="R33" s="40">
        <f>数据表!P3*H33</f>
        <v>40</v>
      </c>
      <c r="S33" s="40">
        <f t="shared" ref="S33:S58" si="41">N33*I33*H33</f>
        <v>0.00474570741287436</v>
      </c>
      <c r="T33" s="40">
        <f t="shared" ref="T33:T58" si="42">O33*I33*H33</f>
        <v>0.00120337580826457</v>
      </c>
      <c r="U33" s="40">
        <f t="shared" ref="U33:U58" si="43">P33*I33*H33</f>
        <v>0</v>
      </c>
      <c r="V33" s="40">
        <f t="shared" ref="V33:V58" si="44">I33*Q33</f>
        <v>0</v>
      </c>
      <c r="W33" s="40">
        <f t="shared" ref="W33:W58" si="45">R33*I33</f>
        <v>0.0677958201839194</v>
      </c>
      <c r="X33" s="40">
        <f>数据表!G3+数据表!F32</f>
        <v>1.25</v>
      </c>
      <c r="Y33" s="40">
        <f t="shared" ref="Y33:Y58" si="46">I33*X33</f>
        <v>0.00211861938074748</v>
      </c>
      <c r="Z33" s="115">
        <v>0</v>
      </c>
      <c r="AA33" s="115">
        <v>3</v>
      </c>
      <c r="AB33" s="40">
        <f t="shared" ref="AB33:AB58" si="47">Z33*I33</f>
        <v>0</v>
      </c>
      <c r="AC33" s="103">
        <f t="shared" ref="AC33:AC58" si="48">AA33*I33</f>
        <v>0.00508468651379396</v>
      </c>
    </row>
    <row r="34" ht="15.6" spans="1:29">
      <c r="A34" s="32"/>
      <c r="B34" s="32"/>
      <c r="C34" s="32"/>
      <c r="D34" s="32"/>
      <c r="E34" s="32"/>
      <c r="F34" s="32"/>
      <c r="G34" s="41" t="s">
        <v>214</v>
      </c>
      <c r="H34" s="43">
        <v>2</v>
      </c>
      <c r="I34" s="40">
        <f>VLOOKUP(G34,G2:W27,17,0)</f>
        <v>0.00019268725508148</v>
      </c>
      <c r="J34" s="40">
        <f>数据表!T4</f>
        <v>4637.14909090909</v>
      </c>
      <c r="K34" s="40">
        <f t="shared" si="39"/>
        <v>0.893519529730851</v>
      </c>
      <c r="L34" s="40">
        <f>数据表!S4</f>
        <v>18000</v>
      </c>
      <c r="M34" s="65">
        <f t="shared" si="40"/>
        <v>3.46837059146663</v>
      </c>
      <c r="N34" s="84">
        <v>1.96</v>
      </c>
      <c r="O34" s="85">
        <v>0.54</v>
      </c>
      <c r="P34" s="86">
        <v>0</v>
      </c>
      <c r="Q34" s="40">
        <v>0</v>
      </c>
      <c r="R34" s="40">
        <f>数据表!P4*H34</f>
        <v>60.32</v>
      </c>
      <c r="S34" s="40">
        <f t="shared" si="41"/>
        <v>0.0007553340399194</v>
      </c>
      <c r="T34" s="40">
        <f t="shared" si="42"/>
        <v>0.000208102235487998</v>
      </c>
      <c r="U34" s="40">
        <f t="shared" si="43"/>
        <v>0</v>
      </c>
      <c r="V34" s="40">
        <f t="shared" si="44"/>
        <v>0</v>
      </c>
      <c r="W34" s="40">
        <f t="shared" si="45"/>
        <v>0.0116228952265148</v>
      </c>
      <c r="X34" s="40">
        <f>数据表!G4+数据表!F32</f>
        <v>2.25</v>
      </c>
      <c r="Y34" s="40">
        <f t="shared" si="46"/>
        <v>0.000433546323933329</v>
      </c>
      <c r="Z34" s="115">
        <v>0</v>
      </c>
      <c r="AA34" s="115">
        <v>6</v>
      </c>
      <c r="AB34" s="40">
        <f t="shared" si="47"/>
        <v>0</v>
      </c>
      <c r="AC34" s="103">
        <f t="shared" si="48"/>
        <v>0.00115612353048888</v>
      </c>
    </row>
    <row r="35" ht="15.6" spans="1:29">
      <c r="A35" s="32"/>
      <c r="B35" s="32"/>
      <c r="C35" s="32"/>
      <c r="D35" s="32"/>
      <c r="E35" s="32"/>
      <c r="F35" s="32"/>
      <c r="G35" s="41" t="s">
        <v>225</v>
      </c>
      <c r="H35" s="43">
        <v>4</v>
      </c>
      <c r="I35" s="40">
        <f>VLOOKUP(G35,G2:W27,17,0)</f>
        <v>6.90091766494718e-6</v>
      </c>
      <c r="J35" s="40">
        <f>数据表!T5</f>
        <v>6184.66909090909</v>
      </c>
      <c r="K35" s="40">
        <f t="shared" si="39"/>
        <v>0.0426798921813074</v>
      </c>
      <c r="L35" s="40">
        <f>数据表!S5</f>
        <v>22000</v>
      </c>
      <c r="M35" s="65">
        <f t="shared" si="40"/>
        <v>0.151820188628838</v>
      </c>
      <c r="N35" s="84">
        <v>1.395</v>
      </c>
      <c r="O35" s="85">
        <v>0.31</v>
      </c>
      <c r="P35" s="86">
        <v>0</v>
      </c>
      <c r="Q35" s="40">
        <v>0</v>
      </c>
      <c r="R35" s="40">
        <f>数据表!P5*H35</f>
        <v>83.08</v>
      </c>
      <c r="S35" s="40">
        <f t="shared" si="41"/>
        <v>3.85071205704053e-5</v>
      </c>
      <c r="T35" s="40">
        <f t="shared" si="42"/>
        <v>8.55713790453451e-6</v>
      </c>
      <c r="U35" s="40">
        <f t="shared" si="43"/>
        <v>0</v>
      </c>
      <c r="V35" s="40">
        <f t="shared" si="44"/>
        <v>0</v>
      </c>
      <c r="W35" s="40">
        <f t="shared" si="45"/>
        <v>0.000573328239603812</v>
      </c>
      <c r="X35" s="40">
        <f>数据表!G5+数据表!F32</f>
        <v>4.25</v>
      </c>
      <c r="Y35" s="40">
        <f t="shared" si="46"/>
        <v>2.93289000760255e-5</v>
      </c>
      <c r="Z35" s="115">
        <v>0</v>
      </c>
      <c r="AA35" s="115">
        <v>10</v>
      </c>
      <c r="AB35" s="40">
        <f t="shared" si="47"/>
        <v>0</v>
      </c>
      <c r="AC35" s="103">
        <f t="shared" si="48"/>
        <v>6.90091766494718e-5</v>
      </c>
    </row>
    <row r="36" ht="15.6" spans="1:29">
      <c r="A36" s="32"/>
      <c r="B36" s="32"/>
      <c r="C36" s="32"/>
      <c r="D36" s="32"/>
      <c r="E36" s="32"/>
      <c r="F36" s="32"/>
      <c r="G36" s="41" t="s">
        <v>227</v>
      </c>
      <c r="H36" s="43">
        <v>0.5</v>
      </c>
      <c r="I36" s="40">
        <f>VLOOKUP(G36,G2:W27,17,0)</f>
        <v>0.0021939532463681</v>
      </c>
      <c r="J36" s="40">
        <f>数据表!T6</f>
        <v>5582.28545454545</v>
      </c>
      <c r="K36" s="40">
        <f t="shared" si="39"/>
        <v>12.2472732951534</v>
      </c>
      <c r="L36" s="40">
        <f>数据表!S6</f>
        <v>15000</v>
      </c>
      <c r="M36" s="65">
        <f t="shared" si="40"/>
        <v>32.9092986955215</v>
      </c>
      <c r="N36" s="84">
        <v>9.78</v>
      </c>
      <c r="O36" s="85">
        <v>1.97</v>
      </c>
      <c r="P36" s="86">
        <v>0</v>
      </c>
      <c r="Q36" s="40">
        <v>0</v>
      </c>
      <c r="R36" s="40">
        <f>数据表!P6*H36</f>
        <v>97.245</v>
      </c>
      <c r="S36" s="40">
        <f t="shared" si="41"/>
        <v>0.01072843137474</v>
      </c>
      <c r="T36" s="40">
        <f t="shared" si="42"/>
        <v>0.00216104394767258</v>
      </c>
      <c r="U36" s="40">
        <f t="shared" si="43"/>
        <v>0</v>
      </c>
      <c r="V36" s="40">
        <f t="shared" si="44"/>
        <v>0</v>
      </c>
      <c r="W36" s="40">
        <f t="shared" si="45"/>
        <v>0.213350983443066</v>
      </c>
      <c r="X36" s="40">
        <f>数据表!G6+数据表!F32</f>
        <v>0.75</v>
      </c>
      <c r="Y36" s="40">
        <f t="shared" si="46"/>
        <v>0.00164546493477607</v>
      </c>
      <c r="Z36" s="115">
        <v>8000</v>
      </c>
      <c r="AA36" s="115">
        <v>5</v>
      </c>
      <c r="AB36" s="40">
        <f t="shared" si="47"/>
        <v>17.5516259709448</v>
      </c>
      <c r="AC36" s="103">
        <f t="shared" si="48"/>
        <v>0.0109697662318405</v>
      </c>
    </row>
    <row r="37" ht="15.6" spans="1:29">
      <c r="A37" s="32"/>
      <c r="B37" s="32"/>
      <c r="C37" s="32"/>
      <c r="D37" s="32"/>
      <c r="E37" s="32"/>
      <c r="F37" s="32"/>
      <c r="G37" s="41" t="s">
        <v>228</v>
      </c>
      <c r="H37" s="43">
        <v>1</v>
      </c>
      <c r="I37" s="40">
        <f>VLOOKUP(G37,G2:W27,17,0)</f>
        <v>0.0123989347762129</v>
      </c>
      <c r="J37" s="40">
        <f>数据表!T7</f>
        <v>2677.52727272727</v>
      </c>
      <c r="K37" s="40">
        <f t="shared" si="39"/>
        <v>33.1984860160767</v>
      </c>
      <c r="L37" s="40">
        <f>数据表!S7</f>
        <v>12000</v>
      </c>
      <c r="M37" s="65">
        <f t="shared" si="40"/>
        <v>148.787217314555</v>
      </c>
      <c r="N37" s="84">
        <v>0</v>
      </c>
      <c r="O37" s="85">
        <v>0</v>
      </c>
      <c r="P37" s="86">
        <v>0.052</v>
      </c>
      <c r="Q37" s="40">
        <v>0.44</v>
      </c>
      <c r="R37" s="40">
        <f>数据表!P7*H37</f>
        <v>0</v>
      </c>
      <c r="S37" s="40">
        <f t="shared" si="41"/>
        <v>0</v>
      </c>
      <c r="T37" s="40">
        <f t="shared" si="42"/>
        <v>0</v>
      </c>
      <c r="U37" s="40">
        <f t="shared" si="43"/>
        <v>0.000644744608363072</v>
      </c>
      <c r="V37" s="40">
        <f t="shared" si="44"/>
        <v>0.00545553130153369</v>
      </c>
      <c r="W37" s="40">
        <f t="shared" si="45"/>
        <v>0</v>
      </c>
      <c r="X37" s="40">
        <f>数据表!G7+数据表!F32</f>
        <v>1.25</v>
      </c>
      <c r="Y37" s="40">
        <f t="shared" si="46"/>
        <v>0.0154986684702662</v>
      </c>
      <c r="Z37" s="115">
        <v>0</v>
      </c>
      <c r="AA37" s="115">
        <v>0</v>
      </c>
      <c r="AB37" s="40">
        <f t="shared" si="47"/>
        <v>0</v>
      </c>
      <c r="AC37" s="103">
        <f t="shared" si="48"/>
        <v>0</v>
      </c>
    </row>
    <row r="38" ht="15.6" spans="1:29">
      <c r="A38" s="32"/>
      <c r="B38" s="32"/>
      <c r="C38" s="32"/>
      <c r="D38" s="32"/>
      <c r="E38" s="32"/>
      <c r="F38" s="32"/>
      <c r="G38" s="41" t="s">
        <v>229</v>
      </c>
      <c r="H38" s="43">
        <v>2</v>
      </c>
      <c r="I38" s="40">
        <f>VLOOKUP(G38,G2:W27,17,0)</f>
        <v>0.0855853313895577</v>
      </c>
      <c r="J38" s="40">
        <f>数据表!T8</f>
        <v>4840.14545454545</v>
      </c>
      <c r="K38" s="40">
        <f t="shared" si="39"/>
        <v>414.245452700934</v>
      </c>
      <c r="L38" s="40">
        <f>数据表!S8</f>
        <v>12000</v>
      </c>
      <c r="M38" s="65">
        <f t="shared" si="40"/>
        <v>1027.02397667469</v>
      </c>
      <c r="N38" s="84">
        <v>0</v>
      </c>
      <c r="O38" s="85">
        <v>0</v>
      </c>
      <c r="P38" s="86">
        <v>0.047</v>
      </c>
      <c r="Q38" s="40">
        <v>0.79</v>
      </c>
      <c r="R38" s="40">
        <f>数据表!P8*H38</f>
        <v>0</v>
      </c>
      <c r="S38" s="40">
        <f t="shared" si="41"/>
        <v>0</v>
      </c>
      <c r="T38" s="40">
        <f t="shared" si="42"/>
        <v>0</v>
      </c>
      <c r="U38" s="40">
        <f t="shared" si="43"/>
        <v>0.00804502115061842</v>
      </c>
      <c r="V38" s="40">
        <f t="shared" si="44"/>
        <v>0.0676124117977506</v>
      </c>
      <c r="W38" s="40">
        <f t="shared" si="45"/>
        <v>0</v>
      </c>
      <c r="X38" s="40">
        <f>数据表!G8+数据表!F32</f>
        <v>2.25</v>
      </c>
      <c r="Y38" s="40">
        <f t="shared" si="46"/>
        <v>0.192566995626505</v>
      </c>
      <c r="Z38" s="115">
        <v>0</v>
      </c>
      <c r="AA38" s="115">
        <v>0</v>
      </c>
      <c r="AB38" s="40">
        <f t="shared" si="47"/>
        <v>0</v>
      </c>
      <c r="AC38" s="103">
        <f t="shared" si="48"/>
        <v>0</v>
      </c>
    </row>
    <row r="39" ht="15.6" spans="1:29">
      <c r="A39" s="32"/>
      <c r="B39" s="32"/>
      <c r="C39" s="32"/>
      <c r="D39" s="32"/>
      <c r="E39" s="32"/>
      <c r="F39" s="32"/>
      <c r="G39" s="41" t="s">
        <v>231</v>
      </c>
      <c r="H39" s="43">
        <v>4</v>
      </c>
      <c r="I39" s="40">
        <f>VLOOKUP(G39,G2:W27,17,0)</f>
        <v>0.095162511736554</v>
      </c>
      <c r="J39" s="40">
        <f>数据表!T9</f>
        <v>10504.1454545455</v>
      </c>
      <c r="K39" s="40">
        <f t="shared" si="39"/>
        <v>999.600865100656</v>
      </c>
      <c r="L39" s="40">
        <f>数据表!S9</f>
        <v>12000</v>
      </c>
      <c r="M39" s="65">
        <f t="shared" si="40"/>
        <v>1141.95014083865</v>
      </c>
      <c r="N39" s="84">
        <v>0</v>
      </c>
      <c r="O39" s="85">
        <v>0</v>
      </c>
      <c r="P39" s="86">
        <v>0.051</v>
      </c>
      <c r="Q39" s="40">
        <v>1.4</v>
      </c>
      <c r="R39" s="40">
        <f>数据表!P9*H39</f>
        <v>0</v>
      </c>
      <c r="S39" s="40">
        <f t="shared" si="41"/>
        <v>0</v>
      </c>
      <c r="T39" s="40">
        <f t="shared" si="42"/>
        <v>0</v>
      </c>
      <c r="U39" s="40">
        <f t="shared" si="43"/>
        <v>0.019413152394257</v>
      </c>
      <c r="V39" s="40">
        <f t="shared" si="44"/>
        <v>0.133227516431176</v>
      </c>
      <c r="W39" s="40">
        <f t="shared" si="45"/>
        <v>0</v>
      </c>
      <c r="X39" s="40">
        <f>数据表!G9+数据表!F32</f>
        <v>4.25</v>
      </c>
      <c r="Y39" s="40">
        <f t="shared" si="46"/>
        <v>0.404440674880354</v>
      </c>
      <c r="Z39" s="115">
        <v>0</v>
      </c>
      <c r="AA39" s="115">
        <v>0</v>
      </c>
      <c r="AB39" s="40">
        <f t="shared" si="47"/>
        <v>0</v>
      </c>
      <c r="AC39" s="103">
        <f t="shared" si="48"/>
        <v>0</v>
      </c>
    </row>
    <row r="40" ht="15.6" spans="1:29">
      <c r="A40" s="32"/>
      <c r="B40" s="32"/>
      <c r="C40" s="32"/>
      <c r="D40" s="32"/>
      <c r="E40" s="32"/>
      <c r="F40" s="32"/>
      <c r="G40" s="41" t="s">
        <v>233</v>
      </c>
      <c r="H40" s="43">
        <v>0.5</v>
      </c>
      <c r="I40" s="40">
        <f>VLOOKUP(G40,G2:W27,17,0)</f>
        <v>0.0510126912629539</v>
      </c>
      <c r="J40" s="40">
        <f>数据表!T10</f>
        <v>21008.2909090909</v>
      </c>
      <c r="K40" s="40">
        <f t="shared" si="39"/>
        <v>1071.68945810777</v>
      </c>
      <c r="L40" s="40">
        <f>数据表!S10</f>
        <v>12000</v>
      </c>
      <c r="M40" s="65">
        <f t="shared" si="40"/>
        <v>612.152295155446</v>
      </c>
      <c r="N40" s="84">
        <v>0</v>
      </c>
      <c r="O40" s="85">
        <v>0</v>
      </c>
      <c r="P40" s="86">
        <v>0.816</v>
      </c>
      <c r="Q40" s="40">
        <v>3.4</v>
      </c>
      <c r="R40" s="40">
        <f>数据表!P10*H40</f>
        <v>0</v>
      </c>
      <c r="S40" s="40">
        <f t="shared" si="41"/>
        <v>0</v>
      </c>
      <c r="T40" s="40">
        <f t="shared" si="42"/>
        <v>0</v>
      </c>
      <c r="U40" s="40">
        <f t="shared" si="43"/>
        <v>0.0208131780352852</v>
      </c>
      <c r="V40" s="40">
        <f t="shared" si="44"/>
        <v>0.173443150294043</v>
      </c>
      <c r="W40" s="40">
        <f t="shared" si="45"/>
        <v>0</v>
      </c>
      <c r="X40" s="40">
        <f>数据表!G10+数据表!F32</f>
        <v>0.75</v>
      </c>
      <c r="Y40" s="40">
        <f t="shared" si="46"/>
        <v>0.0382595184472154</v>
      </c>
      <c r="Z40" s="115">
        <v>5000</v>
      </c>
      <c r="AA40" s="115">
        <v>0</v>
      </c>
      <c r="AB40" s="40">
        <f t="shared" si="47"/>
        <v>255.063456314769</v>
      </c>
      <c r="AC40" s="103">
        <f t="shared" si="48"/>
        <v>0</v>
      </c>
    </row>
    <row r="41" ht="15.6" spans="1:29">
      <c r="A41" s="32"/>
      <c r="B41" s="32"/>
      <c r="C41" s="32"/>
      <c r="D41" s="32"/>
      <c r="E41" s="32"/>
      <c r="F41" s="32"/>
      <c r="G41" s="41" t="s">
        <v>234</v>
      </c>
      <c r="H41" s="43">
        <v>2.5</v>
      </c>
      <c r="I41" s="40">
        <f>VLOOKUP(G41,G2:W27,17,0)</f>
        <v>0.0261937324087435</v>
      </c>
      <c r="J41" s="40">
        <f>数据表!T11</f>
        <v>3282.54545454545</v>
      </c>
      <c r="K41" s="40">
        <f t="shared" si="39"/>
        <v>85.9821172559007</v>
      </c>
      <c r="L41" s="40">
        <f>数据表!S11</f>
        <v>12000</v>
      </c>
      <c r="M41" s="65">
        <f t="shared" si="40"/>
        <v>314.324788904922</v>
      </c>
      <c r="N41" s="84">
        <v>0.92</v>
      </c>
      <c r="O41" s="85">
        <v>0</v>
      </c>
      <c r="P41" s="86">
        <v>0.014</v>
      </c>
      <c r="Q41" s="40">
        <v>0.37</v>
      </c>
      <c r="R41" s="40">
        <f>数据表!P11*H41</f>
        <v>0</v>
      </c>
      <c r="S41" s="40">
        <f t="shared" si="41"/>
        <v>0.06024558454011</v>
      </c>
      <c r="T41" s="40">
        <f t="shared" si="42"/>
        <v>0</v>
      </c>
      <c r="U41" s="40">
        <f t="shared" si="43"/>
        <v>0.000916780634306022</v>
      </c>
      <c r="V41" s="40">
        <f t="shared" si="44"/>
        <v>0.00969168099123508</v>
      </c>
      <c r="W41" s="40">
        <f t="shared" si="45"/>
        <v>0</v>
      </c>
      <c r="X41" s="40">
        <f>数据表!G11+数据表!F32</f>
        <v>2.75</v>
      </c>
      <c r="Y41" s="40">
        <f t="shared" si="46"/>
        <v>0.0720327641240446</v>
      </c>
      <c r="Z41" s="115">
        <v>3000</v>
      </c>
      <c r="AA41" s="115">
        <v>0</v>
      </c>
      <c r="AB41" s="40">
        <f t="shared" si="47"/>
        <v>78.5811972262304</v>
      </c>
      <c r="AC41" s="103">
        <f t="shared" si="48"/>
        <v>0</v>
      </c>
    </row>
    <row r="42" ht="15.6" spans="1:29">
      <c r="A42" s="32"/>
      <c r="B42" s="32"/>
      <c r="C42" s="32"/>
      <c r="D42" s="32"/>
      <c r="E42" s="32"/>
      <c r="F42" s="32"/>
      <c r="G42" s="41" t="s">
        <v>235</v>
      </c>
      <c r="H42" s="43">
        <v>5</v>
      </c>
      <c r="I42" s="40">
        <f>VLOOKUP(G42,G2:W27,17,0)</f>
        <v>0.11527601066692</v>
      </c>
      <c r="J42" s="40">
        <f>数据表!T12</f>
        <v>4988.18181818182</v>
      </c>
      <c r="K42" s="40">
        <f t="shared" si="39"/>
        <v>575.017700481262</v>
      </c>
      <c r="L42" s="40">
        <f>数据表!S12</f>
        <v>12000</v>
      </c>
      <c r="M42" s="65">
        <f t="shared" si="40"/>
        <v>1383.31212800304</v>
      </c>
      <c r="N42" s="84">
        <v>0.75</v>
      </c>
      <c r="O42" s="85">
        <v>0</v>
      </c>
      <c r="P42" s="86">
        <v>0.01</v>
      </c>
      <c r="Q42" s="40">
        <v>0.66</v>
      </c>
      <c r="R42" s="40">
        <f>数据表!P12*H42</f>
        <v>0</v>
      </c>
      <c r="S42" s="40">
        <f t="shared" si="41"/>
        <v>0.432285040000949</v>
      </c>
      <c r="T42" s="40">
        <f t="shared" si="42"/>
        <v>0</v>
      </c>
      <c r="U42" s="40">
        <f t="shared" si="43"/>
        <v>0.00576380053334598</v>
      </c>
      <c r="V42" s="40">
        <f t="shared" si="44"/>
        <v>0.076082167040167</v>
      </c>
      <c r="W42" s="40">
        <f t="shared" si="45"/>
        <v>0</v>
      </c>
      <c r="X42" s="40">
        <f>数据表!G12+数据表!F32</f>
        <v>5.25</v>
      </c>
      <c r="Y42" s="40">
        <f t="shared" si="46"/>
        <v>0.605199056001328</v>
      </c>
      <c r="Z42" s="115">
        <v>5000</v>
      </c>
      <c r="AA42" s="115">
        <v>0</v>
      </c>
      <c r="AB42" s="40">
        <f t="shared" si="47"/>
        <v>576.380053334598</v>
      </c>
      <c r="AC42" s="103">
        <f t="shared" si="48"/>
        <v>0</v>
      </c>
    </row>
    <row r="43" ht="15.6" spans="1:29">
      <c r="A43" s="32"/>
      <c r="B43" s="32"/>
      <c r="C43" s="32"/>
      <c r="D43" s="32"/>
      <c r="E43" s="32"/>
      <c r="F43" s="32"/>
      <c r="G43" s="41" t="s">
        <v>236</v>
      </c>
      <c r="H43" s="43">
        <v>8</v>
      </c>
      <c r="I43" s="40">
        <f>VLOOKUP(G43,G2:W27,17,0)</f>
        <v>0.0440229928457721</v>
      </c>
      <c r="J43" s="40">
        <f>数据表!T13</f>
        <v>8393.01818181818</v>
      </c>
      <c r="K43" s="40">
        <f t="shared" si="39"/>
        <v>369.485779372617</v>
      </c>
      <c r="L43" s="40">
        <f>数据表!S13</f>
        <v>12000</v>
      </c>
      <c r="M43" s="65">
        <f t="shared" si="40"/>
        <v>528.275914149265</v>
      </c>
      <c r="N43" s="84">
        <v>0.75</v>
      </c>
      <c r="O43" s="85">
        <v>0</v>
      </c>
      <c r="P43" s="86">
        <v>0.011</v>
      </c>
      <c r="Q43" s="40">
        <v>0.9</v>
      </c>
      <c r="R43" s="40">
        <f>数据表!P13*H43</f>
        <v>0</v>
      </c>
      <c r="S43" s="40">
        <f t="shared" si="41"/>
        <v>0.264137957074633</v>
      </c>
      <c r="T43" s="40">
        <f t="shared" si="42"/>
        <v>0</v>
      </c>
      <c r="U43" s="40">
        <f t="shared" si="43"/>
        <v>0.00387402337042795</v>
      </c>
      <c r="V43" s="40">
        <f t="shared" si="44"/>
        <v>0.0396206935611949</v>
      </c>
      <c r="W43" s="40">
        <f t="shared" si="45"/>
        <v>0</v>
      </c>
      <c r="X43" s="40">
        <f>数据表!G13+数据表!F32</f>
        <v>8.25</v>
      </c>
      <c r="Y43" s="40">
        <f t="shared" si="46"/>
        <v>0.36318969097762</v>
      </c>
      <c r="Z43" s="115">
        <v>8000</v>
      </c>
      <c r="AA43" s="115">
        <v>0</v>
      </c>
      <c r="AB43" s="40">
        <f t="shared" si="47"/>
        <v>352.183942766177</v>
      </c>
      <c r="AC43" s="103">
        <f t="shared" si="48"/>
        <v>0</v>
      </c>
    </row>
    <row r="44" ht="15.6" spans="1:29">
      <c r="A44" s="32"/>
      <c r="B44" s="32"/>
      <c r="C44" s="32"/>
      <c r="D44" s="32"/>
      <c r="E44" s="32"/>
      <c r="F44" s="32"/>
      <c r="G44" s="41" t="s">
        <v>238</v>
      </c>
      <c r="H44" s="43">
        <v>0.5</v>
      </c>
      <c r="I44" s="40">
        <f>VLOOKUP(G44,G2:W27,17,0)</f>
        <v>0.00809141664021986</v>
      </c>
      <c r="J44" s="40">
        <f>数据表!T14</f>
        <v>12103.5818181818</v>
      </c>
      <c r="K44" s="40">
        <f t="shared" si="39"/>
        <v>97.9351233298987</v>
      </c>
      <c r="L44" s="40">
        <f>数据表!S14</f>
        <v>17000</v>
      </c>
      <c r="M44" s="65">
        <f t="shared" si="40"/>
        <v>137.554082883738</v>
      </c>
      <c r="N44" s="84">
        <v>17.61</v>
      </c>
      <c r="O44" s="85">
        <v>0</v>
      </c>
      <c r="P44" s="86">
        <v>0.25</v>
      </c>
      <c r="Q44" s="40">
        <v>1.39</v>
      </c>
      <c r="R44" s="40">
        <f>数据表!P14*H44</f>
        <v>0</v>
      </c>
      <c r="S44" s="40">
        <f t="shared" si="41"/>
        <v>0.0712449235171358</v>
      </c>
      <c r="T44" s="40">
        <f t="shared" si="42"/>
        <v>0</v>
      </c>
      <c r="U44" s="40">
        <f t="shared" si="43"/>
        <v>0.00101142708002748</v>
      </c>
      <c r="V44" s="40">
        <f t="shared" si="44"/>
        <v>0.0112470691299056</v>
      </c>
      <c r="W44" s="40">
        <f t="shared" si="45"/>
        <v>0</v>
      </c>
      <c r="X44" s="40">
        <f>数据表!G14+数据表!F32</f>
        <v>0.75</v>
      </c>
      <c r="Y44" s="40">
        <f t="shared" si="46"/>
        <v>0.00606856248016489</v>
      </c>
      <c r="Z44" s="115">
        <v>5000</v>
      </c>
      <c r="AA44" s="115">
        <v>5</v>
      </c>
      <c r="AB44" s="40">
        <f t="shared" si="47"/>
        <v>40.4570832010993</v>
      </c>
      <c r="AC44" s="103">
        <f t="shared" si="48"/>
        <v>0.0404570832010993</v>
      </c>
    </row>
    <row r="45" ht="15.6" spans="1:29">
      <c r="A45" s="32"/>
      <c r="B45" s="32"/>
      <c r="C45" s="32"/>
      <c r="D45" s="32"/>
      <c r="E45" s="32"/>
      <c r="F45" s="32"/>
      <c r="G45" s="41" t="s">
        <v>239</v>
      </c>
      <c r="H45" s="43">
        <v>2.5</v>
      </c>
      <c r="I45" s="40">
        <f>VLOOKUP(G45,G2:W27,17,0)</f>
        <v>0.0865915836763781</v>
      </c>
      <c r="J45" s="40">
        <f>数据表!T15</f>
        <v>3765.27272727273</v>
      </c>
      <c r="K45" s="40">
        <f t="shared" si="39"/>
        <v>326.040928428021</v>
      </c>
      <c r="L45" s="40">
        <f>数据表!S15</f>
        <v>12000</v>
      </c>
      <c r="M45" s="65">
        <f t="shared" si="40"/>
        <v>1039.09900411654</v>
      </c>
      <c r="N45" s="84">
        <v>0</v>
      </c>
      <c r="O45" s="85">
        <v>0.61</v>
      </c>
      <c r="P45" s="86">
        <v>0.014</v>
      </c>
      <c r="Q45" s="40">
        <v>0.39</v>
      </c>
      <c r="R45" s="40">
        <f>数据表!P15*H45</f>
        <v>0</v>
      </c>
      <c r="S45" s="40">
        <f t="shared" si="41"/>
        <v>0</v>
      </c>
      <c r="T45" s="40">
        <f t="shared" si="42"/>
        <v>0.132052165106477</v>
      </c>
      <c r="U45" s="40">
        <f t="shared" si="43"/>
        <v>0.00303070542867323</v>
      </c>
      <c r="V45" s="40">
        <f t="shared" si="44"/>
        <v>0.0337707176337874</v>
      </c>
      <c r="W45" s="40">
        <f t="shared" si="45"/>
        <v>0</v>
      </c>
      <c r="X45" s="40">
        <f>数据表!G15+数据表!F32</f>
        <v>2.75</v>
      </c>
      <c r="Y45" s="40">
        <f t="shared" si="46"/>
        <v>0.23812685511004</v>
      </c>
      <c r="Z45" s="115">
        <v>3000</v>
      </c>
      <c r="AA45" s="115">
        <v>0</v>
      </c>
      <c r="AB45" s="40">
        <f t="shared" si="47"/>
        <v>259.774751029134</v>
      </c>
      <c r="AC45" s="103">
        <f t="shared" si="48"/>
        <v>0</v>
      </c>
    </row>
    <row r="46" ht="15.6" spans="1:29">
      <c r="A46" s="32"/>
      <c r="B46" s="32"/>
      <c r="C46" s="32"/>
      <c r="D46" s="32"/>
      <c r="E46" s="32"/>
      <c r="F46" s="32"/>
      <c r="G46" s="41" t="s">
        <v>240</v>
      </c>
      <c r="H46" s="43">
        <v>5</v>
      </c>
      <c r="I46" s="40">
        <f>VLOOKUP(G46,G2:W27,17,0)</f>
        <v>0.0979575753689995</v>
      </c>
      <c r="J46" s="40">
        <f>数据表!T16</f>
        <v>5857.09090909091</v>
      </c>
      <c r="K46" s="40">
        <f t="shared" si="39"/>
        <v>573.746424170355</v>
      </c>
      <c r="L46" s="40">
        <f>数据表!S16</f>
        <v>12000</v>
      </c>
      <c r="M46" s="65">
        <f t="shared" si="40"/>
        <v>1175.49090442799</v>
      </c>
      <c r="N46" s="84">
        <v>0</v>
      </c>
      <c r="O46" s="85">
        <v>0.51</v>
      </c>
      <c r="P46" s="86">
        <v>0.01</v>
      </c>
      <c r="Q46" s="40">
        <v>0.55</v>
      </c>
      <c r="R46" s="40">
        <f>数据表!P16*H46</f>
        <v>0</v>
      </c>
      <c r="S46" s="40">
        <f t="shared" si="41"/>
        <v>0</v>
      </c>
      <c r="T46" s="40">
        <f t="shared" si="42"/>
        <v>0.249791817190949</v>
      </c>
      <c r="U46" s="40">
        <f t="shared" si="43"/>
        <v>0.00489787876844998</v>
      </c>
      <c r="V46" s="40">
        <f t="shared" si="44"/>
        <v>0.0538766664529497</v>
      </c>
      <c r="W46" s="40">
        <f t="shared" si="45"/>
        <v>0</v>
      </c>
      <c r="X46" s="40">
        <f>数据表!G16+数据表!F32</f>
        <v>5.25</v>
      </c>
      <c r="Y46" s="40">
        <f t="shared" si="46"/>
        <v>0.514277270687247</v>
      </c>
      <c r="Z46" s="115">
        <v>5000</v>
      </c>
      <c r="AA46" s="115">
        <v>0</v>
      </c>
      <c r="AB46" s="40">
        <f t="shared" si="47"/>
        <v>489.787876844998</v>
      </c>
      <c r="AC46" s="103">
        <f t="shared" si="48"/>
        <v>0</v>
      </c>
    </row>
    <row r="47" ht="15.6" spans="1:29">
      <c r="A47" s="32"/>
      <c r="B47" s="32"/>
      <c r="C47" s="32"/>
      <c r="D47" s="32"/>
      <c r="E47" s="32"/>
      <c r="F47" s="32"/>
      <c r="G47" s="41" t="s">
        <v>241</v>
      </c>
      <c r="H47" s="43">
        <v>8</v>
      </c>
      <c r="I47" s="40">
        <f>VLOOKUP(G47,G2:W27,17,0)</f>
        <v>0.0303463878893181</v>
      </c>
      <c r="J47" s="40">
        <f>数据表!T17</f>
        <v>9783.27272727273</v>
      </c>
      <c r="K47" s="40">
        <f t="shared" si="39"/>
        <v>296.886989008805</v>
      </c>
      <c r="L47" s="40">
        <f>数据表!S17</f>
        <v>12000</v>
      </c>
      <c r="M47" s="65">
        <f t="shared" si="40"/>
        <v>364.156654671817</v>
      </c>
      <c r="N47" s="84">
        <v>0</v>
      </c>
      <c r="O47" s="85">
        <v>0.51</v>
      </c>
      <c r="P47" s="86">
        <v>0.011</v>
      </c>
      <c r="Q47" s="40">
        <v>1.05</v>
      </c>
      <c r="R47" s="40">
        <f>数据表!P17*H47</f>
        <v>0</v>
      </c>
      <c r="S47" s="40">
        <f t="shared" si="41"/>
        <v>0</v>
      </c>
      <c r="T47" s="40">
        <f t="shared" si="42"/>
        <v>0.123813262588418</v>
      </c>
      <c r="U47" s="40">
        <f t="shared" si="43"/>
        <v>0.00267048213425999</v>
      </c>
      <c r="V47" s="40">
        <f t="shared" si="44"/>
        <v>0.031863707283784</v>
      </c>
      <c r="W47" s="40">
        <f t="shared" si="45"/>
        <v>0</v>
      </c>
      <c r="X47" s="40">
        <f>数据表!G17+数据表!F32</f>
        <v>8.25</v>
      </c>
      <c r="Y47" s="40">
        <f t="shared" si="46"/>
        <v>0.250357700086874</v>
      </c>
      <c r="Z47" s="115">
        <v>8000</v>
      </c>
      <c r="AA47" s="115">
        <v>0</v>
      </c>
      <c r="AB47" s="40">
        <f t="shared" si="47"/>
        <v>242.771103114545</v>
      </c>
      <c r="AC47" s="103">
        <f t="shared" si="48"/>
        <v>0</v>
      </c>
    </row>
    <row r="48" ht="15.6" spans="1:29">
      <c r="A48" s="32"/>
      <c r="B48" s="32"/>
      <c r="C48" s="32"/>
      <c r="D48" s="32"/>
      <c r="E48" s="32"/>
      <c r="F48" s="32"/>
      <c r="G48" s="41" t="s">
        <v>243</v>
      </c>
      <c r="H48" s="43">
        <v>0.5</v>
      </c>
      <c r="I48" s="40">
        <f>VLOOKUP(G48,G2:W27,17,0)</f>
        <v>0.00590640542743215</v>
      </c>
      <c r="J48" s="40">
        <f>数据表!T18</f>
        <v>14011.9636363636</v>
      </c>
      <c r="K48" s="40">
        <f t="shared" si="39"/>
        <v>82.7603380707999</v>
      </c>
      <c r="L48" s="40">
        <f>数据表!S18</f>
        <v>17000</v>
      </c>
      <c r="M48" s="65">
        <f t="shared" si="40"/>
        <v>100.408892266347</v>
      </c>
      <c r="N48" s="84">
        <v>0</v>
      </c>
      <c r="O48" s="85">
        <v>11.77</v>
      </c>
      <c r="P48" s="86">
        <v>0.25</v>
      </c>
      <c r="Q48" s="40">
        <v>1.38</v>
      </c>
      <c r="R48" s="40">
        <f>数据表!P18*H48</f>
        <v>0</v>
      </c>
      <c r="S48" s="40">
        <f t="shared" si="41"/>
        <v>0</v>
      </c>
      <c r="T48" s="40">
        <f t="shared" si="42"/>
        <v>0.0347591959404382</v>
      </c>
      <c r="U48" s="40">
        <f t="shared" si="43"/>
        <v>0.000738300678429019</v>
      </c>
      <c r="V48" s="40">
        <f t="shared" si="44"/>
        <v>0.00815083948985637</v>
      </c>
      <c r="W48" s="40">
        <f t="shared" si="45"/>
        <v>0</v>
      </c>
      <c r="X48" s="40">
        <f>数据表!G18+数据表!F32</f>
        <v>0.75</v>
      </c>
      <c r="Y48" s="40">
        <f t="shared" si="46"/>
        <v>0.00442980407057411</v>
      </c>
      <c r="Z48" s="115">
        <v>5000</v>
      </c>
      <c r="AA48" s="115">
        <v>5</v>
      </c>
      <c r="AB48" s="40">
        <f t="shared" si="47"/>
        <v>29.5320271371608</v>
      </c>
      <c r="AC48" s="103">
        <f t="shared" si="48"/>
        <v>0.0295320271371608</v>
      </c>
    </row>
    <row r="49" ht="15.6" spans="1:29">
      <c r="A49" s="32"/>
      <c r="B49" s="32"/>
      <c r="C49" s="32"/>
      <c r="D49" s="32"/>
      <c r="E49" s="32"/>
      <c r="F49" s="32"/>
      <c r="G49" s="41" t="s">
        <v>244</v>
      </c>
      <c r="H49" s="43">
        <v>1.5</v>
      </c>
      <c r="I49" s="40">
        <f>VLOOKUP(G49,G2:W27,17,0)</f>
        <v>0.00646383024589777</v>
      </c>
      <c r="J49" s="40">
        <f>数据表!T19</f>
        <v>2085.38181818182</v>
      </c>
      <c r="K49" s="40">
        <f t="shared" si="39"/>
        <v>13.4795540706089</v>
      </c>
      <c r="L49" s="40">
        <f>数据表!S19</f>
        <v>12000</v>
      </c>
      <c r="M49" s="65">
        <f t="shared" si="40"/>
        <v>77.5659629507732</v>
      </c>
      <c r="N49" s="84">
        <v>0.58</v>
      </c>
      <c r="O49" s="85">
        <v>0.15</v>
      </c>
      <c r="P49" s="86">
        <v>0.016</v>
      </c>
      <c r="Q49" s="40">
        <v>0.27</v>
      </c>
      <c r="R49" s="40">
        <f>数据表!P19*H49</f>
        <v>0</v>
      </c>
      <c r="S49" s="40">
        <f t="shared" si="41"/>
        <v>0.00562353231393106</v>
      </c>
      <c r="T49" s="40">
        <f t="shared" si="42"/>
        <v>0.001454361805327</v>
      </c>
      <c r="U49" s="40">
        <f t="shared" si="43"/>
        <v>0.000155131925901546</v>
      </c>
      <c r="V49" s="40">
        <f t="shared" si="44"/>
        <v>0.0017452341663924</v>
      </c>
      <c r="W49" s="40">
        <f t="shared" si="45"/>
        <v>0</v>
      </c>
      <c r="X49" s="40">
        <f>数据表!G19+数据表!F32</f>
        <v>1.75</v>
      </c>
      <c r="Y49" s="40">
        <f t="shared" si="46"/>
        <v>0.0113117029303211</v>
      </c>
      <c r="Z49" s="115">
        <v>1500</v>
      </c>
      <c r="AA49" s="115">
        <v>0</v>
      </c>
      <c r="AB49" s="40">
        <f t="shared" si="47"/>
        <v>9.69574536884665</v>
      </c>
      <c r="AC49" s="103">
        <f t="shared" si="48"/>
        <v>0</v>
      </c>
    </row>
    <row r="50" ht="16.35" spans="1:29">
      <c r="A50" s="32"/>
      <c r="B50" s="32"/>
      <c r="C50" s="32"/>
      <c r="D50" s="32"/>
      <c r="E50" s="32"/>
      <c r="F50" s="32"/>
      <c r="G50" s="63" t="s">
        <v>245</v>
      </c>
      <c r="H50" s="43">
        <v>2.5</v>
      </c>
      <c r="I50" s="40">
        <f>VLOOKUP(G50,G2:W27,17,0)</f>
        <v>0.0141043678777911</v>
      </c>
      <c r="J50" s="40">
        <f>数据表!T20</f>
        <v>2848.09090909091</v>
      </c>
      <c r="K50" s="40">
        <f t="shared" si="39"/>
        <v>40.1705219312107</v>
      </c>
      <c r="L50" s="40">
        <f>数据表!S20</f>
        <v>12000</v>
      </c>
      <c r="M50" s="65">
        <f t="shared" si="40"/>
        <v>169.252414533493</v>
      </c>
      <c r="N50" s="84">
        <v>0.45</v>
      </c>
      <c r="O50" s="85">
        <v>0.1</v>
      </c>
      <c r="P50" s="86">
        <v>0.014</v>
      </c>
      <c r="Q50" s="40">
        <v>0.39</v>
      </c>
      <c r="R50" s="40">
        <f>数据表!P20*H50</f>
        <v>0</v>
      </c>
      <c r="S50" s="40">
        <f t="shared" si="41"/>
        <v>0.015867413862515</v>
      </c>
      <c r="T50" s="40">
        <f t="shared" si="42"/>
        <v>0.00352609196944778</v>
      </c>
      <c r="U50" s="40">
        <f t="shared" si="43"/>
        <v>0.000493652875722689</v>
      </c>
      <c r="V50" s="40">
        <f t="shared" si="44"/>
        <v>0.00550070347233853</v>
      </c>
      <c r="W50" s="40">
        <f t="shared" si="45"/>
        <v>0</v>
      </c>
      <c r="X50" s="40">
        <f>数据表!G20+数据表!F32</f>
        <v>2.75</v>
      </c>
      <c r="Y50" s="40">
        <f t="shared" si="46"/>
        <v>0.0387870116639255</v>
      </c>
      <c r="Z50" s="115">
        <v>3000</v>
      </c>
      <c r="AA50" s="115">
        <v>0</v>
      </c>
      <c r="AB50" s="40">
        <f t="shared" si="47"/>
        <v>42.3131036333733</v>
      </c>
      <c r="AC50" s="103">
        <f t="shared" si="48"/>
        <v>0</v>
      </c>
    </row>
    <row r="51" ht="15.6" spans="1:29">
      <c r="A51" s="33"/>
      <c r="B51" s="34" t="s">
        <v>306</v>
      </c>
      <c r="C51" s="34" t="s">
        <v>331</v>
      </c>
      <c r="D51" s="34" t="s">
        <v>89</v>
      </c>
      <c r="E51" s="34" t="s">
        <v>93</v>
      </c>
      <c r="F51" s="64" t="s">
        <v>97</v>
      </c>
      <c r="G51" s="41" t="s">
        <v>246</v>
      </c>
      <c r="H51" s="43">
        <v>4</v>
      </c>
      <c r="I51" s="40">
        <f>VLOOKUP(G51,G2:W27,17,0)</f>
        <v>0.168199020532547</v>
      </c>
      <c r="J51" s="40">
        <f>数据表!T21</f>
        <v>7414.69090909091</v>
      </c>
      <c r="K51" s="40">
        <f t="shared" si="39"/>
        <v>1247.14374846067</v>
      </c>
      <c r="L51" s="40">
        <f>数据表!S21</f>
        <v>12000</v>
      </c>
      <c r="M51" s="65">
        <f t="shared" si="40"/>
        <v>2018.38824639057</v>
      </c>
      <c r="N51" s="84">
        <v>0.52</v>
      </c>
      <c r="O51" s="85">
        <v>0.14</v>
      </c>
      <c r="P51" s="86">
        <v>0.026</v>
      </c>
      <c r="Q51" s="40">
        <v>1.15</v>
      </c>
      <c r="R51" s="40">
        <f>数据表!P21*H51</f>
        <v>0</v>
      </c>
      <c r="S51" s="40">
        <f t="shared" si="41"/>
        <v>0.349853962707698</v>
      </c>
      <c r="T51" s="40">
        <f t="shared" si="42"/>
        <v>0.0941914514982265</v>
      </c>
      <c r="U51" s="40">
        <f t="shared" si="43"/>
        <v>0.0174926981353849</v>
      </c>
      <c r="V51" s="40">
        <f t="shared" si="44"/>
        <v>0.193428873612429</v>
      </c>
      <c r="W51" s="40">
        <f t="shared" si="45"/>
        <v>0</v>
      </c>
      <c r="X51" s="40">
        <f>数据表!G21+数据表!F32</f>
        <v>4.25</v>
      </c>
      <c r="Y51" s="40">
        <f t="shared" si="46"/>
        <v>0.714845837263326</v>
      </c>
      <c r="Z51" s="115">
        <v>6000</v>
      </c>
      <c r="AA51" s="115">
        <v>0</v>
      </c>
      <c r="AB51" s="40">
        <f t="shared" si="47"/>
        <v>1009.19412319528</v>
      </c>
      <c r="AC51" s="103">
        <f t="shared" si="48"/>
        <v>0</v>
      </c>
    </row>
    <row r="52" ht="15.6" spans="1:29">
      <c r="A52" s="41" t="s">
        <v>226</v>
      </c>
      <c r="B52" s="40">
        <f>SUM(Y33:Y36)</f>
        <v>0.00422695953953291</v>
      </c>
      <c r="C52" s="40">
        <f>SUM(AC33:AC36)</f>
        <v>0.0172795854527728</v>
      </c>
      <c r="D52" s="40">
        <v>0</v>
      </c>
      <c r="E52" s="40">
        <f>SUM(T33:T36)</f>
        <v>0.00358107912932968</v>
      </c>
      <c r="F52" s="65">
        <f>SUM(S33:S36)</f>
        <v>0.0162679799481042</v>
      </c>
      <c r="G52" s="41" t="s">
        <v>248</v>
      </c>
      <c r="H52" s="43">
        <v>2</v>
      </c>
      <c r="I52" s="40">
        <f>VLOOKUP(G52,G2:W27,17,0)</f>
        <v>0.000801275785904525</v>
      </c>
      <c r="J52" s="40">
        <f>数据表!T22</f>
        <v>1853.67272727273</v>
      </c>
      <c r="K52" s="40">
        <f t="shared" si="39"/>
        <v>1.48530307135524</v>
      </c>
      <c r="L52" s="40">
        <f>数据表!S22</f>
        <v>12000</v>
      </c>
      <c r="M52" s="65">
        <f t="shared" si="40"/>
        <v>9.61530943085429</v>
      </c>
      <c r="N52" s="84">
        <v>0</v>
      </c>
      <c r="O52" s="85">
        <v>0</v>
      </c>
      <c r="P52" s="86">
        <v>0.018</v>
      </c>
      <c r="Q52" s="111">
        <v>0.4</v>
      </c>
      <c r="R52" s="40">
        <f>数据表!P22*H52</f>
        <v>0</v>
      </c>
      <c r="S52" s="40">
        <f t="shared" si="41"/>
        <v>0</v>
      </c>
      <c r="T52" s="40">
        <f t="shared" si="42"/>
        <v>0</v>
      </c>
      <c r="U52" s="40">
        <f t="shared" si="43"/>
        <v>2.88459282925629e-5</v>
      </c>
      <c r="V52" s="40">
        <f t="shared" si="44"/>
        <v>0.00032051031436181</v>
      </c>
      <c r="W52" s="40">
        <f t="shared" si="45"/>
        <v>0</v>
      </c>
      <c r="X52" s="40">
        <f>数据表!G22+数据表!F32</f>
        <v>2.25</v>
      </c>
      <c r="Y52" s="40">
        <f t="shared" si="46"/>
        <v>0.00180287051828518</v>
      </c>
      <c r="Z52" s="115">
        <v>0</v>
      </c>
      <c r="AA52" s="115">
        <v>0</v>
      </c>
      <c r="AB52" s="40">
        <f t="shared" si="47"/>
        <v>0</v>
      </c>
      <c r="AC52" s="103">
        <f t="shared" si="48"/>
        <v>0</v>
      </c>
    </row>
    <row r="53" ht="15.6" spans="1:29">
      <c r="A53" s="41" t="s">
        <v>232</v>
      </c>
      <c r="B53" s="40">
        <f>SUM(Y37:Y40)</f>
        <v>0.650765857424341</v>
      </c>
      <c r="C53" s="40">
        <v>0</v>
      </c>
      <c r="D53" s="40">
        <f>SUM(U37:U40)</f>
        <v>0.0489160961885237</v>
      </c>
      <c r="E53" s="40">
        <v>0</v>
      </c>
      <c r="F53" s="65">
        <v>0</v>
      </c>
      <c r="G53" s="41" t="s">
        <v>249</v>
      </c>
      <c r="H53" s="43">
        <v>2</v>
      </c>
      <c r="I53" s="40">
        <f>VLOOKUP(G53,G2:W27,17,0)</f>
        <v>0.00135854194000182</v>
      </c>
      <c r="J53" s="40">
        <f>数据表!T23</f>
        <v>2162.61818181818</v>
      </c>
      <c r="K53" s="40">
        <f t="shared" si="39"/>
        <v>2.93800750021048</v>
      </c>
      <c r="L53" s="40">
        <f>数据表!S23</f>
        <v>12000</v>
      </c>
      <c r="M53" s="65">
        <f t="shared" si="40"/>
        <v>16.3025032800218</v>
      </c>
      <c r="N53" s="84">
        <v>0</v>
      </c>
      <c r="O53" s="85">
        <v>0</v>
      </c>
      <c r="P53" s="86">
        <v>0.021</v>
      </c>
      <c r="Q53" s="40">
        <v>0.46</v>
      </c>
      <c r="R53" s="40">
        <f>数据表!P23*H53</f>
        <v>0</v>
      </c>
      <c r="S53" s="40">
        <f t="shared" si="41"/>
        <v>0</v>
      </c>
      <c r="T53" s="40">
        <f t="shared" si="42"/>
        <v>0</v>
      </c>
      <c r="U53" s="40">
        <f t="shared" si="43"/>
        <v>5.70587614800764e-5</v>
      </c>
      <c r="V53" s="40">
        <f t="shared" si="44"/>
        <v>0.000624929292400837</v>
      </c>
      <c r="W53" s="40">
        <f t="shared" si="45"/>
        <v>0</v>
      </c>
      <c r="X53" s="40">
        <f>数据表!G23+数据表!F32</f>
        <v>2.25</v>
      </c>
      <c r="Y53" s="40">
        <f t="shared" si="46"/>
        <v>0.00305671936500409</v>
      </c>
      <c r="Z53" s="115">
        <v>0</v>
      </c>
      <c r="AA53" s="115">
        <v>0</v>
      </c>
      <c r="AB53" s="40">
        <f t="shared" si="47"/>
        <v>0</v>
      </c>
      <c r="AC53" s="103">
        <f t="shared" si="48"/>
        <v>0</v>
      </c>
    </row>
    <row r="54" ht="15.6" spans="1:29">
      <c r="A54" s="66" t="s">
        <v>237</v>
      </c>
      <c r="B54" s="67">
        <f>SUM(Y41:Y44)</f>
        <v>1.04649007358316</v>
      </c>
      <c r="C54" s="67">
        <f>SUM(AC44)</f>
        <v>0.0404570832010993</v>
      </c>
      <c r="D54" s="67">
        <f>SUM(U41:U44)</f>
        <v>0.0115660316181074</v>
      </c>
      <c r="E54" s="67">
        <v>0</v>
      </c>
      <c r="F54" s="68">
        <f>SUM(S41:S44)</f>
        <v>0.827913505132827</v>
      </c>
      <c r="G54" s="41" t="s">
        <v>250</v>
      </c>
      <c r="H54" s="43">
        <v>4</v>
      </c>
      <c r="I54" s="40">
        <f>VLOOKUP(G54,G2:W27,17,0)</f>
        <v>0.0311232132016819</v>
      </c>
      <c r="J54" s="40">
        <f>数据表!T24</f>
        <v>6050.18181818182</v>
      </c>
      <c r="K54" s="40">
        <f t="shared" si="39"/>
        <v>188.301098636212</v>
      </c>
      <c r="L54" s="40">
        <f>数据表!S24</f>
        <v>12000</v>
      </c>
      <c r="M54" s="65">
        <f t="shared" si="40"/>
        <v>373.478558420182</v>
      </c>
      <c r="N54" s="84">
        <v>0.33</v>
      </c>
      <c r="O54" s="85">
        <v>0.09</v>
      </c>
      <c r="P54" s="86">
        <v>0.023</v>
      </c>
      <c r="Q54" s="40">
        <v>1</v>
      </c>
      <c r="R54" s="40">
        <f>数据表!P24*H54</f>
        <v>0</v>
      </c>
      <c r="S54" s="40">
        <f t="shared" si="41"/>
        <v>0.0410826414262201</v>
      </c>
      <c r="T54" s="40">
        <f t="shared" si="42"/>
        <v>0.0112043567526055</v>
      </c>
      <c r="U54" s="40">
        <f t="shared" si="43"/>
        <v>0.00286333561455473</v>
      </c>
      <c r="V54" s="40">
        <f t="shared" si="44"/>
        <v>0.0311232132016819</v>
      </c>
      <c r="W54" s="40">
        <f t="shared" si="45"/>
        <v>0</v>
      </c>
      <c r="X54" s="40">
        <f>数据表!G24+数据表!F32</f>
        <v>4.25</v>
      </c>
      <c r="Y54" s="40">
        <f t="shared" si="46"/>
        <v>0.132273656107148</v>
      </c>
      <c r="Z54" s="115">
        <v>0</v>
      </c>
      <c r="AA54" s="115">
        <v>0</v>
      </c>
      <c r="AB54" s="40">
        <f t="shared" si="47"/>
        <v>0</v>
      </c>
      <c r="AC54" s="103">
        <f t="shared" si="48"/>
        <v>0</v>
      </c>
    </row>
    <row r="55" ht="15.6" spans="1:29">
      <c r="A55" s="66" t="s">
        <v>242</v>
      </c>
      <c r="B55" s="67">
        <f>SUM(Y45:Y48)</f>
        <v>1.00719162995474</v>
      </c>
      <c r="C55" s="67">
        <f>SUM(AC48)</f>
        <v>0.0295320271371608</v>
      </c>
      <c r="D55" s="67">
        <f>SUM(U45:U48)</f>
        <v>0.0113373670098122</v>
      </c>
      <c r="E55" s="67">
        <f>SUM(T45:T48)</f>
        <v>0.540416440826281</v>
      </c>
      <c r="F55" s="68">
        <v>0</v>
      </c>
      <c r="G55" s="41" t="s">
        <v>252</v>
      </c>
      <c r="H55" s="43">
        <v>6</v>
      </c>
      <c r="I55" s="40">
        <f>VLOOKUP(G55,G2:W27,17,0)</f>
        <v>0.0209546485182817</v>
      </c>
      <c r="J55" s="40">
        <f>数据表!T25</f>
        <v>3707.34545454545</v>
      </c>
      <c r="K55" s="40">
        <f t="shared" si="39"/>
        <v>77.6861209358491</v>
      </c>
      <c r="L55" s="40">
        <f>数据表!S25</f>
        <v>12000</v>
      </c>
      <c r="M55" s="65">
        <f t="shared" si="40"/>
        <v>251.45578221938</v>
      </c>
      <c r="N55" s="84">
        <v>0</v>
      </c>
      <c r="O55" s="85">
        <v>0</v>
      </c>
      <c r="P55" s="86">
        <v>0.012</v>
      </c>
      <c r="Q55" s="40">
        <v>0.81</v>
      </c>
      <c r="R55" s="40">
        <f>数据表!P25*H55</f>
        <v>0</v>
      </c>
      <c r="S55" s="40">
        <f t="shared" si="41"/>
        <v>0</v>
      </c>
      <c r="T55" s="40">
        <f t="shared" si="42"/>
        <v>0</v>
      </c>
      <c r="U55" s="40">
        <f t="shared" si="43"/>
        <v>0.00150873469331628</v>
      </c>
      <c r="V55" s="40">
        <f t="shared" si="44"/>
        <v>0.0169732652998082</v>
      </c>
      <c r="W55" s="40">
        <f t="shared" si="45"/>
        <v>0</v>
      </c>
      <c r="X55" s="40">
        <f>数据表!G25+数据表!F32</f>
        <v>6.25</v>
      </c>
      <c r="Y55" s="40">
        <f t="shared" si="46"/>
        <v>0.13096655323926</v>
      </c>
      <c r="Z55" s="115">
        <v>0</v>
      </c>
      <c r="AA55" s="115">
        <v>0</v>
      </c>
      <c r="AB55" s="40">
        <f t="shared" si="47"/>
        <v>0</v>
      </c>
      <c r="AC55" s="103">
        <f t="shared" si="48"/>
        <v>0</v>
      </c>
    </row>
    <row r="56" ht="15.6" spans="1:29">
      <c r="A56" s="66" t="s">
        <v>247</v>
      </c>
      <c r="B56" s="67">
        <f>SUM(Y49:Y51)</f>
        <v>0.764944551857573</v>
      </c>
      <c r="C56" s="67">
        <v>0</v>
      </c>
      <c r="D56" s="67">
        <f>SUM(U49:U51)</f>
        <v>0.0181414829370092</v>
      </c>
      <c r="E56" s="67">
        <f>SUM(T49:T51)</f>
        <v>0.0991719052730013</v>
      </c>
      <c r="F56" s="68">
        <f>SUM(S49:S51)</f>
        <v>0.371344908884144</v>
      </c>
      <c r="G56" s="41" t="s">
        <v>253</v>
      </c>
      <c r="H56" s="43">
        <v>8</v>
      </c>
      <c r="I56" s="40">
        <f>VLOOKUP(G56,G2:W27,17,0)</f>
        <v>0.0903412223358178</v>
      </c>
      <c r="J56" s="40">
        <f>数据表!T26</f>
        <v>4994.61818181818</v>
      </c>
      <c r="K56" s="40">
        <f t="shared" si="39"/>
        <v>451.219911646154</v>
      </c>
      <c r="L56" s="40">
        <f>数据表!S26</f>
        <v>12000</v>
      </c>
      <c r="M56" s="65">
        <f t="shared" si="40"/>
        <v>1084.09466802981</v>
      </c>
      <c r="N56" s="84">
        <v>0.07</v>
      </c>
      <c r="O56" s="85">
        <v>0.01</v>
      </c>
      <c r="P56" s="86">
        <v>0.011</v>
      </c>
      <c r="Q56" s="40">
        <v>0.98</v>
      </c>
      <c r="R56" s="40">
        <f>数据表!P26*H56</f>
        <v>0</v>
      </c>
      <c r="S56" s="40">
        <f t="shared" si="41"/>
        <v>0.050591084508058</v>
      </c>
      <c r="T56" s="40">
        <f t="shared" si="42"/>
        <v>0.00722729778686542</v>
      </c>
      <c r="U56" s="40">
        <f t="shared" si="43"/>
        <v>0.00795002756555196</v>
      </c>
      <c r="V56" s="40">
        <f t="shared" si="44"/>
        <v>0.0885343978891014</v>
      </c>
      <c r="W56" s="40">
        <f t="shared" si="45"/>
        <v>0</v>
      </c>
      <c r="X56" s="40">
        <f>数据表!G26+数据表!F32</f>
        <v>8.25</v>
      </c>
      <c r="Y56" s="40">
        <f t="shared" si="46"/>
        <v>0.745315084270497</v>
      </c>
      <c r="Z56" s="115">
        <v>0</v>
      </c>
      <c r="AA56" s="115">
        <v>0</v>
      </c>
      <c r="AB56" s="40">
        <f t="shared" si="47"/>
        <v>0</v>
      </c>
      <c r="AC56" s="103">
        <f t="shared" si="48"/>
        <v>0</v>
      </c>
    </row>
    <row r="57" ht="16.35" spans="1:29">
      <c r="A57" s="69" t="s">
        <v>332</v>
      </c>
      <c r="B57" s="70">
        <f>SUM(Y52:Y58)</f>
        <v>1.05629963833926</v>
      </c>
      <c r="C57" s="70">
        <v>0</v>
      </c>
      <c r="D57" s="70">
        <f>SUM(U52:U59)</f>
        <v>0.0127891456591247</v>
      </c>
      <c r="E57" s="70">
        <f>SUM(T52:T58)</f>
        <v>0.0192270656850246</v>
      </c>
      <c r="F57" s="71">
        <f>SUM(S52:S58)</f>
        <v>0.0944576649437162</v>
      </c>
      <c r="G57" s="72" t="s">
        <v>255</v>
      </c>
      <c r="H57" s="73">
        <v>12</v>
      </c>
      <c r="I57" s="87">
        <f>VLOOKUP(G57,G2:W27,17,0)</f>
        <v>0.00331421310647398</v>
      </c>
      <c r="J57" s="87">
        <f>数据表!T27</f>
        <v>6410.61818181818</v>
      </c>
      <c r="K57" s="87">
        <f t="shared" si="39"/>
        <v>21.2461547987822</v>
      </c>
      <c r="L57" s="87">
        <f>数据表!S27</f>
        <v>18000</v>
      </c>
      <c r="M57" s="88">
        <f t="shared" si="40"/>
        <v>59.6558359165316</v>
      </c>
      <c r="N57" s="84">
        <v>0.07</v>
      </c>
      <c r="O57" s="85">
        <v>0.02</v>
      </c>
      <c r="P57" s="86">
        <v>0.009</v>
      </c>
      <c r="Q57" s="40">
        <v>1.14</v>
      </c>
      <c r="R57" s="40">
        <f>数据表!P27*H57</f>
        <v>0</v>
      </c>
      <c r="S57" s="40">
        <f t="shared" si="41"/>
        <v>0.00278393900943814</v>
      </c>
      <c r="T57" s="40">
        <f t="shared" si="42"/>
        <v>0.000795411145553755</v>
      </c>
      <c r="U57" s="40">
        <f t="shared" si="43"/>
        <v>0.00035793501549919</v>
      </c>
      <c r="V57" s="40">
        <f t="shared" si="44"/>
        <v>0.00377820294138034</v>
      </c>
      <c r="W57" s="40">
        <f t="shared" si="45"/>
        <v>0</v>
      </c>
      <c r="X57" s="40">
        <f>数据表!G27+数据表!F32</f>
        <v>12.25</v>
      </c>
      <c r="Y57" s="40">
        <f t="shared" si="46"/>
        <v>0.0405991105543062</v>
      </c>
      <c r="Z57" s="115">
        <v>0</v>
      </c>
      <c r="AA57" s="115">
        <v>0</v>
      </c>
      <c r="AB57" s="40">
        <f t="shared" si="47"/>
        <v>0</v>
      </c>
      <c r="AC57" s="103">
        <f t="shared" si="48"/>
        <v>0</v>
      </c>
    </row>
    <row r="58" ht="16.35" spans="1:29">
      <c r="A58" s="32"/>
      <c r="B58" s="32"/>
      <c r="C58" s="32"/>
      <c r="D58" s="32"/>
      <c r="E58" s="32"/>
      <c r="F58" s="32"/>
      <c r="G58" s="74" t="s">
        <v>257</v>
      </c>
      <c r="H58" s="75">
        <v>3</v>
      </c>
      <c r="I58" s="89">
        <f>VLOOKUP(G58,G2:W27,17,0)</f>
        <v>0.000703275164542883</v>
      </c>
      <c r="J58" s="89">
        <f>数据表!T28</f>
        <v>1699.2</v>
      </c>
      <c r="K58" s="89">
        <f t="shared" si="39"/>
        <v>1.19500515959127</v>
      </c>
      <c r="L58" s="89">
        <f>数据表!R28</f>
        <v>4875</v>
      </c>
      <c r="M58" s="90">
        <f t="shared" si="40"/>
        <v>3.42846642714655</v>
      </c>
      <c r="N58" s="91">
        <v>0</v>
      </c>
      <c r="O58" s="92">
        <v>0</v>
      </c>
      <c r="P58" s="93">
        <v>0.011</v>
      </c>
      <c r="Q58" s="53">
        <v>0.35</v>
      </c>
      <c r="R58" s="53">
        <f>数据表!P28*H58</f>
        <v>0</v>
      </c>
      <c r="S58" s="53">
        <f t="shared" si="41"/>
        <v>0</v>
      </c>
      <c r="T58" s="53">
        <f t="shared" si="42"/>
        <v>0</v>
      </c>
      <c r="U58" s="53">
        <f t="shared" si="43"/>
        <v>2.32080804299151e-5</v>
      </c>
      <c r="V58" s="53">
        <f t="shared" si="44"/>
        <v>0.000246146307590009</v>
      </c>
      <c r="W58" s="53">
        <f t="shared" si="45"/>
        <v>0</v>
      </c>
      <c r="X58" s="53">
        <f>数据表!G28+数据表!F32</f>
        <v>3.25</v>
      </c>
      <c r="Y58" s="53">
        <f t="shared" si="46"/>
        <v>0.00228564428476437</v>
      </c>
      <c r="Z58" s="116">
        <v>0</v>
      </c>
      <c r="AA58" s="116">
        <v>0</v>
      </c>
      <c r="AB58" s="53">
        <f t="shared" si="47"/>
        <v>0</v>
      </c>
      <c r="AC58" s="104">
        <f t="shared" si="48"/>
        <v>0</v>
      </c>
    </row>
    <row r="59" ht="15.6" spans="1:30">
      <c r="A59" s="32"/>
      <c r="B59" s="32"/>
      <c r="C59" s="32"/>
      <c r="D59" s="32"/>
      <c r="E59" s="32"/>
      <c r="F59" s="32"/>
      <c r="G59" s="54" t="s">
        <v>333</v>
      </c>
      <c r="H59" s="32" t="s">
        <v>334</v>
      </c>
      <c r="I59" s="32">
        <f t="shared" ref="I59:M59" si="49">SUM(I33:I58)</f>
        <v>0.999997619721715</v>
      </c>
      <c r="J59" s="32" t="s">
        <v>335</v>
      </c>
      <c r="K59" s="32">
        <f t="shared" si="49"/>
        <v>6990.05569353377</v>
      </c>
      <c r="L59" s="32" t="s">
        <v>336</v>
      </c>
      <c r="M59" s="32">
        <f t="shared" si="49"/>
        <v>12097.7266690503</v>
      </c>
      <c r="N59" s="94" t="s">
        <v>337</v>
      </c>
      <c r="O59" s="95"/>
      <c r="P59" s="96"/>
      <c r="R59" s="97"/>
      <c r="S59" s="62" t="s">
        <v>69</v>
      </c>
      <c r="T59" s="62" t="s">
        <v>74</v>
      </c>
      <c r="U59" s="62" t="s">
        <v>89</v>
      </c>
      <c r="V59" s="40" t="s">
        <v>330</v>
      </c>
      <c r="W59" s="40" t="s">
        <v>113</v>
      </c>
      <c r="X59" s="105">
        <f>SUM(Y33:Y58)</f>
        <v>4.52991871069861</v>
      </c>
      <c r="Y59" s="106"/>
      <c r="AA59" s="106"/>
      <c r="AB59" s="106"/>
      <c r="AC59" s="107"/>
      <c r="AD59" s="32"/>
    </row>
    <row r="60" ht="15.15" spans="1:30">
      <c r="A60" s="32"/>
      <c r="B60" s="32"/>
      <c r="C60" s="32"/>
      <c r="D60" s="32"/>
      <c r="E60" s="32"/>
      <c r="F60" s="32"/>
      <c r="G60" s="56"/>
      <c r="H60" s="57"/>
      <c r="I60" s="57"/>
      <c r="J60" s="57" t="s">
        <v>338</v>
      </c>
      <c r="K60" s="57">
        <f>K59/M59*100</f>
        <v>57.779910926707</v>
      </c>
      <c r="L60" s="57"/>
      <c r="M60" s="57"/>
      <c r="N60" s="97" t="s">
        <v>339</v>
      </c>
      <c r="O60" s="76">
        <f>R29+1</f>
        <v>2</v>
      </c>
      <c r="P60" s="98" t="s">
        <v>340</v>
      </c>
      <c r="R60" s="54" t="s">
        <v>341</v>
      </c>
      <c r="S60" s="32">
        <f>SUM(S33:S58)*R29</f>
        <v>1.30998405890879</v>
      </c>
      <c r="T60" s="32">
        <f>SUM(T33:T58)*R29</f>
        <v>0.662396490913637</v>
      </c>
      <c r="U60" s="32">
        <f>SUM(U33:U58)*R29</f>
        <v>0.102750123412577</v>
      </c>
      <c r="V60" s="32">
        <f>SUM(V33:V58)*R29</f>
        <v>0.986317627904868</v>
      </c>
      <c r="W60" s="32">
        <f>SUM(W33:W58)*R29</f>
        <v>0.293343027093104</v>
      </c>
      <c r="X60" s="56"/>
      <c r="Y60" s="57"/>
      <c r="AA60" s="57" t="s">
        <v>342</v>
      </c>
      <c r="AB60" s="57">
        <f>SUM(AB33:AB58)*R29</f>
        <v>3403.28608913716</v>
      </c>
      <c r="AC60" s="112">
        <f>SUM(AC33:AC58)*R29</f>
        <v>0.0872686957910329</v>
      </c>
      <c r="AD60" s="32"/>
    </row>
    <row r="61" spans="1:30">
      <c r="A61" s="32"/>
      <c r="B61" s="32"/>
      <c r="C61" s="32"/>
      <c r="D61" s="32"/>
      <c r="E61" s="32"/>
      <c r="F61" s="32"/>
      <c r="G61" s="32"/>
      <c r="H61" s="32"/>
      <c r="I61" s="32"/>
      <c r="J61" s="32"/>
      <c r="K61" s="32"/>
      <c r="L61" s="32"/>
      <c r="M61" s="32"/>
      <c r="N61" s="97" t="s">
        <v>349</v>
      </c>
      <c r="O61" s="76">
        <f>1-T28</f>
        <v>0.230045619213168</v>
      </c>
      <c r="P61" s="98"/>
      <c r="R61" s="54" t="s">
        <v>344</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308</v>
      </c>
      <c r="O62" s="76">
        <f>V28</f>
        <v>0.383357370947197</v>
      </c>
      <c r="P62" s="98"/>
      <c r="R62" s="54" t="s">
        <v>346</v>
      </c>
      <c r="S62" s="32">
        <f>M59/X59</f>
        <v>2670.62776214468</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347</v>
      </c>
      <c r="O63" s="100"/>
      <c r="P63" s="101">
        <f>O62</f>
        <v>0.383357370947197</v>
      </c>
      <c r="R63" s="56" t="s">
        <v>348</v>
      </c>
      <c r="S63" s="57">
        <f>K59/X59</f>
        <v>1543.08634215111</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21" workbookViewId="0">
      <selection activeCell="M41" sqref="M4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80</v>
      </c>
      <c r="B1" s="2"/>
      <c r="D1" t="s">
        <v>350</v>
      </c>
      <c r="K1" t="s">
        <v>351</v>
      </c>
    </row>
    <row r="2" ht="16.35" spans="1:18">
      <c r="A2" s="3" t="s">
        <v>215</v>
      </c>
      <c r="B2" s="4" t="s">
        <v>216</v>
      </c>
      <c r="C2" t="s">
        <v>352</v>
      </c>
      <c r="D2" t="s">
        <v>353</v>
      </c>
      <c r="E2" t="s">
        <v>354</v>
      </c>
      <c r="F2" t="s">
        <v>355</v>
      </c>
      <c r="G2" t="s">
        <v>325</v>
      </c>
      <c r="H2" t="s">
        <v>329</v>
      </c>
      <c r="I2" t="s">
        <v>356</v>
      </c>
      <c r="J2" t="s">
        <v>357</v>
      </c>
      <c r="K2" t="s">
        <v>358</v>
      </c>
      <c r="L2" t="s">
        <v>359</v>
      </c>
      <c r="M2" t="s">
        <v>356</v>
      </c>
      <c r="N2" t="s">
        <v>357</v>
      </c>
      <c r="O2" t="s">
        <v>360</v>
      </c>
      <c r="P2" t="s">
        <v>361</v>
      </c>
      <c r="Q2" t="s">
        <v>150</v>
      </c>
      <c r="R2" t="s">
        <v>362</v>
      </c>
    </row>
    <row r="3" ht="15.6" spans="1:19">
      <c r="A3" s="5" t="s">
        <v>226</v>
      </c>
      <c r="B3" s="6">
        <v>1</v>
      </c>
      <c r="C3">
        <f ca="1">数据表!K39</f>
        <v>8.57777777775964</v>
      </c>
      <c r="D3">
        <f ca="1">IF(C3&gt;B3,1,0)</f>
        <v>1</v>
      </c>
      <c r="E3">
        <f ca="1">IF((C3-B3)*D3&gt;F3,1,0)</f>
        <v>1</v>
      </c>
      <c r="F3">
        <f>G60</f>
        <v>2.5</v>
      </c>
      <c r="G3">
        <f>数据表!T3*100</f>
        <v>319614.545454545</v>
      </c>
      <c r="H3">
        <f ca="1">数据表!R3+C3*1500-B3*1500</f>
        <v>16241.6666666395</v>
      </c>
      <c r="I3">
        <f ca="1">G3/H3</f>
        <v>19.6786790428988</v>
      </c>
      <c r="J3">
        <f>'倾向-优先级表'!D6</f>
        <v>137.53</v>
      </c>
      <c r="K3">
        <f ca="1">(I3-J3)*H3</f>
        <v>-1914101.87120838</v>
      </c>
      <c r="L3">
        <f ca="1">H3+8000</f>
        <v>24241.6666666395</v>
      </c>
      <c r="M3">
        <f ca="1">G3/L3</f>
        <v>13.1845120160153</v>
      </c>
      <c r="N3">
        <f ca="1">G34</f>
        <v>73.7345231129712</v>
      </c>
      <c r="O3">
        <f ca="1">(M3-N3)*L3</f>
        <v>-1467833.18567373</v>
      </c>
      <c r="P3">
        <f ca="1">IF(E3=1,数据表!U3,IF(D3=1,K3,O3))</f>
        <v>-350844.204545455</v>
      </c>
      <c r="Q3">
        <f ca="1">COUNTIF(P4:P29,"&gt;"&amp;P3)+1</f>
        <v>17</v>
      </c>
      <c r="R3" t="s">
        <v>208</v>
      </c>
      <c r="S3">
        <f ca="1">P3</f>
        <v>-350844.204545455</v>
      </c>
    </row>
    <row r="4" ht="15.6" spans="1:19">
      <c r="A4" s="7" t="s">
        <v>226</v>
      </c>
      <c r="B4" s="8">
        <v>2</v>
      </c>
      <c r="C4">
        <f ca="1">数据表!K39</f>
        <v>8.57777777775964</v>
      </c>
      <c r="D4">
        <f ca="1" t="shared" ref="D4:D29" si="0">IF(C4&gt;B4,1,0)</f>
        <v>1</v>
      </c>
      <c r="E4">
        <f ca="1" t="shared" ref="E4:E29" si="1">IF((C4-B4)*D4&gt;F4,1,0)</f>
        <v>1</v>
      </c>
      <c r="F4">
        <f>G60</f>
        <v>2.5</v>
      </c>
      <c r="G4">
        <f>数据表!T4*100</f>
        <v>463714.909090909</v>
      </c>
      <c r="H4">
        <f ca="1">数据表!R4+C4*1500-B4*1500</f>
        <v>19241.6666666395</v>
      </c>
      <c r="I4">
        <f ca="1" t="shared" ref="I4:I28" si="2">G4/H4</f>
        <v>24.0995188787301</v>
      </c>
      <c r="J4">
        <f>'倾向-优先级表'!D6</f>
        <v>137.53</v>
      </c>
      <c r="K4">
        <f ca="1">(I4-J4)*H4</f>
        <v>-2182591.50757201</v>
      </c>
      <c r="L4">
        <f ca="1" t="shared" ref="L4:L28" si="3">H4+8000</f>
        <v>27241.6666666395</v>
      </c>
      <c r="M4">
        <f ca="1" t="shared" ref="M4:M28" si="4">G4/L4</f>
        <v>17.0222664701636</v>
      </c>
      <c r="N4">
        <f ca="1">G34</f>
        <v>73.7345231129712</v>
      </c>
      <c r="O4">
        <f ca="1" t="shared" ref="O4:O28" si="5">(M4-N4)*L4</f>
        <v>-1544936.39137628</v>
      </c>
      <c r="P4">
        <f ca="1">IF(E4=1,数据表!U4,IF(D4=1,K4,O4))</f>
        <v>-825628.840909091</v>
      </c>
      <c r="Q4">
        <f ca="1">COUNTIF(P5:P29,"&gt;"&amp;P4)+1+COUNTIF(P3:P3,"&gt;="&amp;P4)</f>
        <v>21</v>
      </c>
      <c r="R4" t="s">
        <v>214</v>
      </c>
      <c r="S4">
        <f ca="1" t="shared" ref="S4:S29" si="6">P4</f>
        <v>-825628.840909091</v>
      </c>
    </row>
    <row r="5" ht="15.6" spans="1:19">
      <c r="A5" s="9" t="s">
        <v>226</v>
      </c>
      <c r="B5" s="10">
        <v>4</v>
      </c>
      <c r="C5">
        <f ca="1">数据表!K39</f>
        <v>8.57777777775964</v>
      </c>
      <c r="D5">
        <f ca="1" t="shared" si="0"/>
        <v>1</v>
      </c>
      <c r="E5">
        <f ca="1" t="shared" si="1"/>
        <v>1</v>
      </c>
      <c r="F5">
        <f>G60</f>
        <v>2.5</v>
      </c>
      <c r="G5">
        <f>数据表!T5*100</f>
        <v>618466.909090909</v>
      </c>
      <c r="H5">
        <f ca="1">数据表!R5+C5*1500-B5*1500</f>
        <v>23241.6666666395</v>
      </c>
      <c r="I5">
        <f ca="1" t="shared" si="2"/>
        <v>26.6102650021499</v>
      </c>
      <c r="J5">
        <f>'倾向-优先级表'!D6</f>
        <v>137.53</v>
      </c>
      <c r="K5">
        <f ca="1" t="shared" ref="K4:K29" si="7">(I5-J5)*H5</f>
        <v>-2577959.50757201</v>
      </c>
      <c r="L5">
        <f ca="1" t="shared" si="3"/>
        <v>31241.6666666395</v>
      </c>
      <c r="M5">
        <f ca="1" t="shared" si="4"/>
        <v>19.7962200829484</v>
      </c>
      <c r="N5">
        <f ca="1">G34</f>
        <v>73.7345231129712</v>
      </c>
      <c r="O5">
        <f ca="1" t="shared" si="5"/>
        <v>-1685122.48382816</v>
      </c>
      <c r="P5">
        <f ca="1">IF(E5=1,数据表!U5,IF(D5=1,K5,O5))</f>
        <v>-1633586.84090909</v>
      </c>
      <c r="Q5">
        <f ca="1">COUNTIF(P6:P29,"&gt;"&amp;P5)+COUNTIF(P3:P4,"&gt;="&amp;P5)+1</f>
        <v>27</v>
      </c>
      <c r="R5" t="s">
        <v>225</v>
      </c>
      <c r="S5">
        <f ca="1" t="shared" si="6"/>
        <v>-1633586.84090909</v>
      </c>
    </row>
    <row r="6" ht="16.35" spans="1:19">
      <c r="A6" s="11" t="s">
        <v>230</v>
      </c>
      <c r="B6" s="12">
        <v>0.5</v>
      </c>
      <c r="C6">
        <f ca="1">数据表!K39</f>
        <v>8.57777777775964</v>
      </c>
      <c r="D6">
        <f ca="1" t="shared" si="0"/>
        <v>1</v>
      </c>
      <c r="E6">
        <f ca="1" t="shared" si="1"/>
        <v>1</v>
      </c>
      <c r="F6">
        <f>G60</f>
        <v>2.5</v>
      </c>
      <c r="G6">
        <f>数据表!T6*100</f>
        <v>558228.545454545</v>
      </c>
      <c r="H6">
        <f ca="1">数据表!R6+C6*1500-B6*1500</f>
        <v>16241.6666666395</v>
      </c>
      <c r="I6">
        <f ca="1" t="shared" si="2"/>
        <v>34.370151592949</v>
      </c>
      <c r="J6">
        <f>'倾向-优先级表'!D6</f>
        <v>137.53</v>
      </c>
      <c r="K6">
        <f ca="1" t="shared" si="7"/>
        <v>-1675487.87120838</v>
      </c>
      <c r="L6">
        <f ca="1" t="shared" si="3"/>
        <v>24241.6666666395</v>
      </c>
      <c r="M6">
        <f ca="1" t="shared" si="4"/>
        <v>23.0276471139981</v>
      </c>
      <c r="N6">
        <f ca="1">G34</f>
        <v>73.7345231129712</v>
      </c>
      <c r="O6">
        <f ca="1" t="shared" si="5"/>
        <v>-1229219.18567373</v>
      </c>
      <c r="P6">
        <f ca="1">IF(E6=1,数据表!U6,IF(D6=1,K6,O6))</f>
        <v>-9082.704545455</v>
      </c>
      <c r="Q6">
        <f ca="1">COUNTIF(P7:P29,"&gt;"&amp;P6)+COUNTIF(P3:P5,"&gt;="&amp;P6)+1</f>
        <v>7</v>
      </c>
      <c r="R6" t="s">
        <v>227</v>
      </c>
      <c r="S6">
        <f ca="1" t="shared" si="6"/>
        <v>-9082.704545455</v>
      </c>
    </row>
    <row r="7" ht="15.6" spans="1:19">
      <c r="A7" s="13" t="s">
        <v>232</v>
      </c>
      <c r="B7" s="14">
        <v>1</v>
      </c>
      <c r="C7">
        <f ca="1">数据表!K39</f>
        <v>8.57777777775964</v>
      </c>
      <c r="D7">
        <f ca="1" t="shared" si="0"/>
        <v>1</v>
      </c>
      <c r="E7">
        <f ca="1" t="shared" si="1"/>
        <v>1</v>
      </c>
      <c r="F7">
        <f>G60</f>
        <v>2.5</v>
      </c>
      <c r="G7">
        <f>数据表!T7*100</f>
        <v>267752.727272727</v>
      </c>
      <c r="H7">
        <f ca="1">数据表!R7+C7*1500-B7*1500</f>
        <v>13241.6666666395</v>
      </c>
      <c r="I7">
        <f ca="1" t="shared" si="2"/>
        <v>20.2204702786616</v>
      </c>
      <c r="J7">
        <f>'倾向-优先级表'!D6</f>
        <v>137.53</v>
      </c>
      <c r="K7">
        <f ca="1" t="shared" si="7"/>
        <v>-1553373.6893902</v>
      </c>
      <c r="L7">
        <f ca="1" t="shared" si="3"/>
        <v>21241.6666666395</v>
      </c>
      <c r="M7">
        <f ca="1" t="shared" si="4"/>
        <v>12.6050715075592</v>
      </c>
      <c r="N7">
        <f ca="1">G34</f>
        <v>73.7345231129712</v>
      </c>
      <c r="O7">
        <f ca="1" t="shared" si="5"/>
        <v>-1298491.43451663</v>
      </c>
      <c r="P7">
        <f ca="1">IF(E7=1,数据表!U7,IF(D7=1,K7,O7))</f>
        <v>9883.97727272703</v>
      </c>
      <c r="Q7">
        <f ca="1">COUNTIF(P8:P29,"&gt;"&amp;P7)+COUNTIF(P3:P6,"&gt;="&amp;P7)+1</f>
        <v>6</v>
      </c>
      <c r="R7" t="s">
        <v>228</v>
      </c>
      <c r="S7">
        <f ca="1" t="shared" si="6"/>
        <v>9883.97727272703</v>
      </c>
    </row>
    <row r="8" ht="15.6" spans="1:19">
      <c r="A8" s="15" t="s">
        <v>232</v>
      </c>
      <c r="B8" s="16">
        <v>2</v>
      </c>
      <c r="C8">
        <f ca="1">数据表!K39</f>
        <v>8.57777777775964</v>
      </c>
      <c r="D8">
        <f ca="1" t="shared" si="0"/>
        <v>1</v>
      </c>
      <c r="E8">
        <f ca="1" t="shared" si="1"/>
        <v>1</v>
      </c>
      <c r="F8">
        <f>G60</f>
        <v>2.5</v>
      </c>
      <c r="G8">
        <f>数据表!T8*100</f>
        <v>484014.545454545</v>
      </c>
      <c r="H8">
        <f ca="1">数据表!R8+C8*1500-B8*1500</f>
        <v>13241.6666666395</v>
      </c>
      <c r="I8">
        <f ca="1" t="shared" si="2"/>
        <v>36.5523885806575</v>
      </c>
      <c r="J8">
        <f>'倾向-优先级表'!D6</f>
        <v>137.53</v>
      </c>
      <c r="K8">
        <f ca="1" t="shared" si="7"/>
        <v>-1337111.87120838</v>
      </c>
      <c r="L8">
        <f ca="1" t="shared" si="3"/>
        <v>21241.6666666395</v>
      </c>
      <c r="M8">
        <f ca="1" t="shared" si="4"/>
        <v>22.7860908021262</v>
      </c>
      <c r="N8">
        <f ca="1">G34</f>
        <v>73.7345231129712</v>
      </c>
      <c r="O8">
        <f ca="1" t="shared" si="5"/>
        <v>-1082229.61633481</v>
      </c>
      <c r="P8">
        <f ca="1">IF(E8=1,数据表!U8,IF(D8=1,K8,O8))</f>
        <v>19850.795454545</v>
      </c>
      <c r="Q8">
        <f ca="1">COUNTIF(P9:P29,"&gt;"&amp;P8)+COUNTIF(P3:P7,"&gt;="&amp;P8)+1</f>
        <v>5</v>
      </c>
      <c r="R8" t="s">
        <v>229</v>
      </c>
      <c r="S8">
        <f ca="1" t="shared" si="6"/>
        <v>19850.795454545</v>
      </c>
    </row>
    <row r="9" ht="15.6" spans="1:19">
      <c r="A9" s="7" t="s">
        <v>232</v>
      </c>
      <c r="B9" s="8">
        <v>4</v>
      </c>
      <c r="C9">
        <f ca="1">数据表!K39</f>
        <v>8.57777777775964</v>
      </c>
      <c r="D9">
        <f ca="1" t="shared" si="0"/>
        <v>1</v>
      </c>
      <c r="E9">
        <f ca="1" t="shared" si="1"/>
        <v>1</v>
      </c>
      <c r="F9">
        <f>G60</f>
        <v>2.5</v>
      </c>
      <c r="G9">
        <f>数据表!T9*100</f>
        <v>1050414.54545455</v>
      </c>
      <c r="H9">
        <f ca="1">数据表!R9+C9*1500-B9*1500</f>
        <v>13241.6666666395</v>
      </c>
      <c r="I9">
        <f ca="1" t="shared" si="2"/>
        <v>79.3264603239805</v>
      </c>
      <c r="J9">
        <f>'倾向-优先级表'!D6</f>
        <v>137.53</v>
      </c>
      <c r="K9">
        <f ca="1" t="shared" si="7"/>
        <v>-770711.871208374</v>
      </c>
      <c r="L9">
        <f ca="1" t="shared" si="3"/>
        <v>21241.6666666395</v>
      </c>
      <c r="M9">
        <f ca="1" t="shared" si="4"/>
        <v>49.4506651450402</v>
      </c>
      <c r="N9">
        <f ca="1">G34</f>
        <v>73.7345231129712</v>
      </c>
      <c r="O9">
        <f ca="1" t="shared" si="5"/>
        <v>-515829.616334807</v>
      </c>
      <c r="P9">
        <f ca="1">IF(E9=1,数据表!U9,IF(D9=1,K9,O9))</f>
        <v>173660.79545455</v>
      </c>
      <c r="Q9">
        <f ca="1">COUNTIF(P10:P29,"&gt;"&amp;P9)+COUNTIF(P3:P8,"&gt;="&amp;P9)+1</f>
        <v>4</v>
      </c>
      <c r="R9" t="s">
        <v>231</v>
      </c>
      <c r="S9">
        <f ca="1" t="shared" si="6"/>
        <v>173660.79545455</v>
      </c>
    </row>
    <row r="10" ht="16.35" spans="1:19">
      <c r="A10" s="17" t="s">
        <v>232</v>
      </c>
      <c r="B10" s="18">
        <v>0.5</v>
      </c>
      <c r="C10">
        <f ca="1">数据表!K39</f>
        <v>8.57777777775964</v>
      </c>
      <c r="D10">
        <f ca="1" t="shared" si="0"/>
        <v>1</v>
      </c>
      <c r="E10">
        <f ca="1" t="shared" si="1"/>
        <v>1</v>
      </c>
      <c r="F10">
        <f>G60</f>
        <v>2.5</v>
      </c>
      <c r="G10">
        <f>数据表!T10*100</f>
        <v>2100829.09090909</v>
      </c>
      <c r="H10">
        <f ca="1">数据表!R10+C10*1500-B10*1500</f>
        <v>13241.6666666395</v>
      </c>
      <c r="I10">
        <f ca="1" t="shared" si="2"/>
        <v>158.65292064796</v>
      </c>
      <c r="J10">
        <f>'倾向-优先级表'!D6</f>
        <v>137.53</v>
      </c>
      <c r="K10">
        <f ca="1" t="shared" si="7"/>
        <v>279702.674246166</v>
      </c>
      <c r="L10">
        <f ca="1" t="shared" si="3"/>
        <v>21241.6666666395</v>
      </c>
      <c r="M10">
        <f ca="1" t="shared" si="4"/>
        <v>98.9013302900799</v>
      </c>
      <c r="N10">
        <f ca="1">G34</f>
        <v>73.7345231129712</v>
      </c>
      <c r="O10">
        <f ca="1" t="shared" si="5"/>
        <v>534584.929119733</v>
      </c>
      <c r="P10">
        <f ca="1">IF(E10=1,数据表!U10,IF(D10=1,K10,O10))</f>
        <v>1946107.84090909</v>
      </c>
      <c r="Q10">
        <f ca="1">COUNTIF(P11:P29,"&gt;"&amp;P10)+COUNTIF(P3:P9,"&gt;="&amp;P10)+1</f>
        <v>1</v>
      </c>
      <c r="R10" t="s">
        <v>233</v>
      </c>
      <c r="S10">
        <f ca="1" t="shared" si="6"/>
        <v>1946107.84090909</v>
      </c>
    </row>
    <row r="11" ht="15.6" spans="1:19">
      <c r="A11" s="19" t="s">
        <v>237</v>
      </c>
      <c r="B11" s="6">
        <v>2.5</v>
      </c>
      <c r="C11">
        <f ca="1">数据表!K39</f>
        <v>8.57777777775964</v>
      </c>
      <c r="D11">
        <f ca="1" t="shared" si="0"/>
        <v>1</v>
      </c>
      <c r="E11">
        <f ca="1" t="shared" si="1"/>
        <v>1</v>
      </c>
      <c r="F11">
        <f>G60</f>
        <v>2.5</v>
      </c>
      <c r="G11">
        <f>数据表!T11*100</f>
        <v>328254.545454545</v>
      </c>
      <c r="H11">
        <f ca="1">数据表!R11+C11*1500-B11*1500</f>
        <v>13241.6666666395</v>
      </c>
      <c r="I11">
        <f ca="1" t="shared" si="2"/>
        <v>24.7895188512438</v>
      </c>
      <c r="J11">
        <f>'倾向-优先级表'!D6</f>
        <v>137.53</v>
      </c>
      <c r="K11">
        <f ca="1" t="shared" si="7"/>
        <v>-1492871.87120838</v>
      </c>
      <c r="L11">
        <f ca="1" t="shared" si="3"/>
        <v>21241.6666666395</v>
      </c>
      <c r="M11">
        <f ca="1" t="shared" si="4"/>
        <v>15.453332857825</v>
      </c>
      <c r="N11">
        <f ca="1">G34</f>
        <v>73.7345231129712</v>
      </c>
      <c r="O11">
        <f ca="1" t="shared" si="5"/>
        <v>-1237989.61633481</v>
      </c>
      <c r="P11">
        <f ca="1">IF(E11=1,数据表!U11,IF(D11=1,K11,O11))</f>
        <v>-239056.704545455</v>
      </c>
      <c r="Q11">
        <f ca="1">COUNTIF(P12:P29,"&gt;"&amp;P11)+COUNTIF(P3:P10,"&gt;="&amp;P11)+1</f>
        <v>11</v>
      </c>
      <c r="R11" t="s">
        <v>234</v>
      </c>
      <c r="S11">
        <f ca="1" t="shared" si="6"/>
        <v>-239056.704545455</v>
      </c>
    </row>
    <row r="12" ht="15.6" spans="1:19">
      <c r="A12" s="7" t="s">
        <v>237</v>
      </c>
      <c r="B12" s="8">
        <v>5</v>
      </c>
      <c r="C12">
        <f ca="1">数据表!K39</f>
        <v>8.57777777775964</v>
      </c>
      <c r="D12">
        <f ca="1" t="shared" si="0"/>
        <v>1</v>
      </c>
      <c r="E12">
        <f ca="1" t="shared" si="1"/>
        <v>1</v>
      </c>
      <c r="F12">
        <f>G60</f>
        <v>2.5</v>
      </c>
      <c r="G12">
        <f>数据表!T12*100</f>
        <v>498818.181818182</v>
      </c>
      <c r="H12">
        <f ca="1">数据表!R12+C12*1500-B12*1500</f>
        <v>13241.6666666395</v>
      </c>
      <c r="I12">
        <f ca="1" t="shared" si="2"/>
        <v>37.6703472739489</v>
      </c>
      <c r="J12">
        <f>'倾向-优先级表'!D6</f>
        <v>137.53</v>
      </c>
      <c r="K12">
        <f ca="1" t="shared" si="7"/>
        <v>-1322308.23484474</v>
      </c>
      <c r="L12">
        <f ca="1" t="shared" si="3"/>
        <v>21241.6666666395</v>
      </c>
      <c r="M12">
        <f ca="1" t="shared" si="4"/>
        <v>23.4830058133615</v>
      </c>
      <c r="N12">
        <f ca="1">G34</f>
        <v>73.7345231129712</v>
      </c>
      <c r="O12">
        <f ca="1" t="shared" si="5"/>
        <v>-1067425.97997118</v>
      </c>
      <c r="P12">
        <f ca="1">IF(E12=1,数据表!U12,IF(D12=1,K12,O12))</f>
        <v>-584230.568181818</v>
      </c>
      <c r="Q12">
        <f ca="1">COUNTIF(P13:P29,"&gt;"&amp;P12)+COUNTIF(P3:P11,"&gt;="&amp;P12)+1</f>
        <v>20</v>
      </c>
      <c r="R12" t="s">
        <v>235</v>
      </c>
      <c r="S12">
        <f ca="1" t="shared" si="6"/>
        <v>-584230.568181818</v>
      </c>
    </row>
    <row r="13" ht="15.6" spans="1:19">
      <c r="A13" s="9" t="s">
        <v>237</v>
      </c>
      <c r="B13" s="10">
        <v>8</v>
      </c>
      <c r="C13">
        <f ca="1">数据表!K39</f>
        <v>8.57777777775964</v>
      </c>
      <c r="D13">
        <f ca="1" t="shared" si="0"/>
        <v>1</v>
      </c>
      <c r="E13">
        <f ca="1" t="shared" si="1"/>
        <v>0</v>
      </c>
      <c r="F13">
        <f>G60</f>
        <v>2.5</v>
      </c>
      <c r="G13">
        <f>数据表!T13*100</f>
        <v>839301.818181818</v>
      </c>
      <c r="H13">
        <f ca="1">数据表!R13+C13*1500-B13*1500</f>
        <v>13241.6666666395</v>
      </c>
      <c r="I13">
        <f ca="1" t="shared" si="2"/>
        <v>63.3833972196508</v>
      </c>
      <c r="J13">
        <f>'倾向-优先级表'!D6</f>
        <v>137.53</v>
      </c>
      <c r="K13">
        <f ca="1" t="shared" si="7"/>
        <v>-981824.598481106</v>
      </c>
      <c r="L13">
        <f ca="1" t="shared" si="3"/>
        <v>21241.6666666395</v>
      </c>
      <c r="M13">
        <f ca="1" t="shared" si="4"/>
        <v>39.5120510717721</v>
      </c>
      <c r="N13">
        <f ca="1">G34</f>
        <v>73.7345231129712</v>
      </c>
      <c r="O13">
        <f ca="1" t="shared" si="5"/>
        <v>-726942.343607539</v>
      </c>
      <c r="P13">
        <f ca="1">IF(E13=1,数据表!U13,IF(D13=1,K13,O13))</f>
        <v>-981824.598481106</v>
      </c>
      <c r="Q13">
        <f ca="1">COUNTIF(P14:P29,"&gt;"&amp;P13)+COUNTIF(P3:P12,"&gt;="&amp;P13)+1</f>
        <v>25</v>
      </c>
      <c r="R13" t="s">
        <v>236</v>
      </c>
      <c r="S13">
        <f ca="1" t="shared" si="6"/>
        <v>-981824.598481106</v>
      </c>
    </row>
    <row r="14" ht="15.6" spans="1:19">
      <c r="A14" s="9" t="s">
        <v>237</v>
      </c>
      <c r="B14" s="10">
        <v>0.5</v>
      </c>
      <c r="C14">
        <f ca="1">数据表!K39</f>
        <v>8.57777777775964</v>
      </c>
      <c r="D14">
        <f ca="1" t="shared" si="0"/>
        <v>1</v>
      </c>
      <c r="E14">
        <f ca="1" t="shared" si="1"/>
        <v>1</v>
      </c>
      <c r="F14">
        <f>G60</f>
        <v>2.5</v>
      </c>
      <c r="G14">
        <f>数据表!T14*100</f>
        <v>1210358.18181818</v>
      </c>
      <c r="H14">
        <f ca="1">数据表!R14+C14*1500-B14*1500</f>
        <v>18241.6666666395</v>
      </c>
      <c r="I14">
        <f ca="1" t="shared" si="2"/>
        <v>66.3512936584734</v>
      </c>
      <c r="J14">
        <f>'倾向-优先级表'!D6</f>
        <v>137.53</v>
      </c>
      <c r="K14">
        <f ca="1" t="shared" si="7"/>
        <v>-1298418.23484474</v>
      </c>
      <c r="L14">
        <f ca="1" t="shared" si="3"/>
        <v>26241.6666666395</v>
      </c>
      <c r="M14">
        <f ca="1" t="shared" si="4"/>
        <v>46.1235255059804</v>
      </c>
      <c r="N14">
        <f ca="1">G34</f>
        <v>73.7345231129712</v>
      </c>
      <c r="O14">
        <f ca="1" t="shared" si="5"/>
        <v>-724558.595536034</v>
      </c>
      <c r="P14">
        <f ca="1">IF(E14=1,数据表!U14,IF(D14=1,K14,O14))</f>
        <v>367986.93181818</v>
      </c>
      <c r="Q14">
        <f ca="1">COUNTIF(P15:P29,"&gt;"&amp;P14)+COUNTIF(P3:P13,"&gt;="&amp;P14)+1</f>
        <v>3</v>
      </c>
      <c r="R14" t="s">
        <v>238</v>
      </c>
      <c r="S14">
        <f ca="1" t="shared" si="6"/>
        <v>367986.93181818</v>
      </c>
    </row>
    <row r="15" ht="15.6" spans="1:19">
      <c r="A15" s="15" t="s">
        <v>242</v>
      </c>
      <c r="B15" s="16">
        <v>2.5</v>
      </c>
      <c r="C15">
        <f ca="1">数据表!K39</f>
        <v>8.57777777775964</v>
      </c>
      <c r="D15">
        <f ca="1" t="shared" si="0"/>
        <v>1</v>
      </c>
      <c r="E15">
        <f ca="1" t="shared" si="1"/>
        <v>1</v>
      </c>
      <c r="F15">
        <f>G60</f>
        <v>2.5</v>
      </c>
      <c r="G15">
        <f>数据表!T15*100</f>
        <v>376527.272727273</v>
      </c>
      <c r="H15">
        <f ca="1">数据表!R15+C15*1500-B15*1500</f>
        <v>13241.6666666395</v>
      </c>
      <c r="I15">
        <f ca="1" t="shared" si="2"/>
        <v>28.4350363293679</v>
      </c>
      <c r="J15">
        <f>'倾向-优先级表'!D6</f>
        <v>137.53</v>
      </c>
      <c r="K15">
        <f ca="1" t="shared" si="7"/>
        <v>-1444599.14393565</v>
      </c>
      <c r="L15">
        <f ca="1" t="shared" si="3"/>
        <v>21241.6666666395</v>
      </c>
      <c r="M15">
        <f ca="1" t="shared" si="4"/>
        <v>17.7258818075052</v>
      </c>
      <c r="N15">
        <f ca="1">G34</f>
        <v>73.7345231129712</v>
      </c>
      <c r="O15">
        <f ca="1" t="shared" si="5"/>
        <v>-1189716.88906208</v>
      </c>
      <c r="P15">
        <f ca="1">IF(E15=1,数据表!U15,IF(D15=1,K15,O15))</f>
        <v>-190783.977272727</v>
      </c>
      <c r="Q15">
        <f ca="1">COUNTIF(P16:P29,"&gt;"&amp;P15)+COUNTIF(P3:P14,"&gt;="&amp;P15)+1</f>
        <v>10</v>
      </c>
      <c r="R15" t="s">
        <v>239</v>
      </c>
      <c r="S15">
        <f ca="1" t="shared" si="6"/>
        <v>-190783.977272727</v>
      </c>
    </row>
    <row r="16" ht="15.6" spans="1:19">
      <c r="A16" s="7" t="s">
        <v>242</v>
      </c>
      <c r="B16" s="8">
        <v>5</v>
      </c>
      <c r="C16">
        <f ca="1">数据表!K39</f>
        <v>8.57777777775964</v>
      </c>
      <c r="D16">
        <f ca="1" t="shared" si="0"/>
        <v>1</v>
      </c>
      <c r="E16">
        <f ca="1" t="shared" si="1"/>
        <v>1</v>
      </c>
      <c r="F16">
        <f>G60</f>
        <v>2.5</v>
      </c>
      <c r="G16">
        <f>数据表!T16*100</f>
        <v>585709.090909091</v>
      </c>
      <c r="H16">
        <f ca="1">数据表!R16+C16*1500-B16*1500</f>
        <v>13241.6666666395</v>
      </c>
      <c r="I16">
        <f ca="1" t="shared" si="2"/>
        <v>44.2322787345723</v>
      </c>
      <c r="J16">
        <f>'倾向-优先级表'!D6</f>
        <v>137.53</v>
      </c>
      <c r="K16">
        <f ca="1" t="shared" si="7"/>
        <v>-1235417.32575383</v>
      </c>
      <c r="L16">
        <f ca="1" t="shared" si="3"/>
        <v>21241.6666666395</v>
      </c>
      <c r="M16">
        <f ca="1" t="shared" si="4"/>
        <v>27.5735939227858</v>
      </c>
      <c r="N16">
        <f ca="1">G34</f>
        <v>73.7345231129712</v>
      </c>
      <c r="O16">
        <f ca="1" t="shared" si="5"/>
        <v>-980535.070880266</v>
      </c>
      <c r="P16">
        <f ca="1">IF(E16=1,数据表!U16,IF(D16=1,K16,O16))</f>
        <v>-497339.659090909</v>
      </c>
      <c r="Q16">
        <f ca="1">COUNTIF(P17:P29,"&gt;"&amp;P16)+COUNTIF(P3:P15,"&gt;="&amp;P16)+1</f>
        <v>18</v>
      </c>
      <c r="R16" t="s">
        <v>240</v>
      </c>
      <c r="S16">
        <f ca="1" t="shared" si="6"/>
        <v>-497339.659090909</v>
      </c>
    </row>
    <row r="17" ht="15.6" spans="1:19">
      <c r="A17" s="9" t="s">
        <v>242</v>
      </c>
      <c r="B17" s="10">
        <v>8</v>
      </c>
      <c r="C17">
        <f ca="1">数据表!K39</f>
        <v>8.57777777775964</v>
      </c>
      <c r="D17">
        <f ca="1" t="shared" si="0"/>
        <v>1</v>
      </c>
      <c r="E17">
        <f ca="1" t="shared" si="1"/>
        <v>0</v>
      </c>
      <c r="F17">
        <f>G60</f>
        <v>2.5</v>
      </c>
      <c r="G17">
        <f>数据表!T17*100</f>
        <v>978327.272727273</v>
      </c>
      <c r="H17">
        <f ca="1">数据表!R17+C17*1500-B17*1500</f>
        <v>13241.6666666395</v>
      </c>
      <c r="I17">
        <f ca="1" t="shared" si="2"/>
        <v>73.8824875566482</v>
      </c>
      <c r="J17">
        <f>'倾向-优先级表'!D6</f>
        <v>137.53</v>
      </c>
      <c r="K17">
        <f ca="1" t="shared" si="7"/>
        <v>-842799.143935651</v>
      </c>
      <c r="L17">
        <f ca="1" t="shared" si="3"/>
        <v>21241.6666666395</v>
      </c>
      <c r="M17">
        <f ca="1" t="shared" si="4"/>
        <v>46.056992046851</v>
      </c>
      <c r="N17">
        <f ca="1">G34</f>
        <v>73.7345231129712</v>
      </c>
      <c r="O17">
        <f ca="1" t="shared" si="5"/>
        <v>-587916.889062084</v>
      </c>
      <c r="P17">
        <f ca="1">IF(E17=1,数据表!U17,IF(D17=1,K17,O17))</f>
        <v>-842799.143935651</v>
      </c>
      <c r="Q17">
        <f ca="1">COUNTIF(P18:P29,"&gt;"&amp;P17)+COUNTIF(P3:P16,"&gt;="&amp;P17)+1</f>
        <v>22</v>
      </c>
      <c r="R17" t="s">
        <v>241</v>
      </c>
      <c r="S17">
        <f ca="1" t="shared" si="6"/>
        <v>-842799.143935651</v>
      </c>
    </row>
    <row r="18" ht="16.35" spans="1:19">
      <c r="A18" s="20" t="s">
        <v>242</v>
      </c>
      <c r="B18" s="21">
        <v>0.5</v>
      </c>
      <c r="C18">
        <f ca="1">数据表!K39</f>
        <v>8.57777777775964</v>
      </c>
      <c r="D18">
        <f ca="1" t="shared" si="0"/>
        <v>1</v>
      </c>
      <c r="E18">
        <f ca="1" t="shared" si="1"/>
        <v>1</v>
      </c>
      <c r="F18">
        <f>G60</f>
        <v>2.5</v>
      </c>
      <c r="G18">
        <f>数据表!T18*100</f>
        <v>1401196.36363636</v>
      </c>
      <c r="H18">
        <f ca="1">数据表!R18+C18*1500-B18*1500</f>
        <v>18241.6666666395</v>
      </c>
      <c r="I18">
        <f ca="1" t="shared" si="2"/>
        <v>76.8129573488415</v>
      </c>
      <c r="J18">
        <f>'倾向-优先级表'!D6</f>
        <v>137.53</v>
      </c>
      <c r="K18">
        <f ca="1" t="shared" si="7"/>
        <v>-1107580.05302656</v>
      </c>
      <c r="L18">
        <f ca="1" t="shared" si="3"/>
        <v>26241.6666666395</v>
      </c>
      <c r="M18">
        <f ca="1" t="shared" si="4"/>
        <v>53.395860157681</v>
      </c>
      <c r="N18">
        <f ca="1">G34</f>
        <v>73.7345231129712</v>
      </c>
      <c r="O18">
        <f ca="1" t="shared" si="5"/>
        <v>-533720.413717853</v>
      </c>
      <c r="P18">
        <f ca="1">IF(E18=1,数据表!U18,IF(D18=1,K18,O18))</f>
        <v>558825.11363636</v>
      </c>
      <c r="Q18">
        <f ca="1">COUNTIF(P19:P29,"&gt;"&amp;P18)+COUNTIF(P3:P17,"&gt;="&amp;P18)+1</f>
        <v>2</v>
      </c>
      <c r="R18" t="s">
        <v>243</v>
      </c>
      <c r="S18">
        <f ca="1" t="shared" si="6"/>
        <v>558825.11363636</v>
      </c>
    </row>
    <row r="19" ht="15.6" spans="1:19">
      <c r="A19" s="13" t="s">
        <v>247</v>
      </c>
      <c r="B19" s="14">
        <v>1.5</v>
      </c>
      <c r="C19">
        <f ca="1">数据表!K39</f>
        <v>8.57777777775964</v>
      </c>
      <c r="D19">
        <f ca="1" t="shared" si="0"/>
        <v>1</v>
      </c>
      <c r="E19">
        <f ca="1" t="shared" si="1"/>
        <v>1</v>
      </c>
      <c r="F19">
        <f>G60</f>
        <v>2.5</v>
      </c>
      <c r="G19">
        <f>数据表!T19*100</f>
        <v>208538.181818182</v>
      </c>
      <c r="H19">
        <f ca="1">数据表!R19+C19*1500-B19*1500</f>
        <v>13241.6666666395</v>
      </c>
      <c r="I19">
        <f ca="1" t="shared" si="2"/>
        <v>15.7486355054961</v>
      </c>
      <c r="J19">
        <f>'倾向-优先级表'!D6</f>
        <v>137.53</v>
      </c>
      <c r="K19">
        <f ca="1" t="shared" si="7"/>
        <v>-1612588.23484474</v>
      </c>
      <c r="L19">
        <f ca="1" t="shared" si="3"/>
        <v>21241.6666666395</v>
      </c>
      <c r="M19">
        <f ca="1" t="shared" si="4"/>
        <v>9.81741146261824</v>
      </c>
      <c r="N19">
        <f ca="1">G34</f>
        <v>73.7345231129712</v>
      </c>
      <c r="O19">
        <f ca="1" t="shared" si="5"/>
        <v>-1357705.97997118</v>
      </c>
      <c r="P19">
        <f ca="1">IF(E19=1,数据表!U19,IF(D19=1,K19,O19))</f>
        <v>-152478.068181818</v>
      </c>
      <c r="Q19">
        <f ca="1">COUNTIF(P20:P29,"&gt;"&amp;P19)+COUNTIF(P3:P18,"&gt;="&amp;P19)+1</f>
        <v>9</v>
      </c>
      <c r="R19" t="s">
        <v>244</v>
      </c>
      <c r="S19">
        <f ca="1" t="shared" si="6"/>
        <v>-152478.068181818</v>
      </c>
    </row>
    <row r="20" ht="15.6" spans="1:19">
      <c r="A20" s="15" t="s">
        <v>247</v>
      </c>
      <c r="B20" s="16">
        <v>2.5</v>
      </c>
      <c r="C20">
        <f ca="1">数据表!K39</f>
        <v>8.57777777775964</v>
      </c>
      <c r="D20">
        <f ca="1" t="shared" si="0"/>
        <v>1</v>
      </c>
      <c r="E20">
        <f ca="1" t="shared" si="1"/>
        <v>1</v>
      </c>
      <c r="F20">
        <f>G60</f>
        <v>2.5</v>
      </c>
      <c r="G20">
        <f>数据表!T20*100</f>
        <v>284809.090909091</v>
      </c>
      <c r="H20">
        <f ca="1">数据表!R20+C20*1500-B20*1500</f>
        <v>13241.6666666395</v>
      </c>
      <c r="I20">
        <f ca="1" t="shared" si="2"/>
        <v>21.5085531209321</v>
      </c>
      <c r="J20">
        <f>'倾向-优先级表'!D6</f>
        <v>137.53</v>
      </c>
      <c r="K20">
        <f ca="1" t="shared" si="7"/>
        <v>-1536317.32575383</v>
      </c>
      <c r="L20">
        <f ca="1" t="shared" si="3"/>
        <v>21241.6666666395</v>
      </c>
      <c r="M20">
        <f ca="1" t="shared" si="4"/>
        <v>13.4080388031129</v>
      </c>
      <c r="N20">
        <f ca="1">G34</f>
        <v>73.7345231129712</v>
      </c>
      <c r="O20">
        <f ca="1" t="shared" si="5"/>
        <v>-1281435.07088027</v>
      </c>
      <c r="P20">
        <f ca="1">IF(E20=1,数据表!U20,IF(D20=1,K20,O20))</f>
        <v>-282502.159090909</v>
      </c>
      <c r="Q20">
        <f ca="1">COUNTIF(P21:P29,"&gt;"&amp;P20)+COUNTIF(P3:P19,"&gt;="&amp;P20)+1</f>
        <v>16</v>
      </c>
      <c r="R20" s="30" t="s">
        <v>245</v>
      </c>
      <c r="S20">
        <f ca="1" t="shared" si="6"/>
        <v>-282502.159090909</v>
      </c>
    </row>
    <row r="21" ht="16.35" spans="1:19">
      <c r="A21" s="22" t="s">
        <v>247</v>
      </c>
      <c r="B21" s="23">
        <v>4</v>
      </c>
      <c r="C21">
        <f ca="1">数据表!K39</f>
        <v>8.57777777775964</v>
      </c>
      <c r="D21">
        <f ca="1" t="shared" si="0"/>
        <v>1</v>
      </c>
      <c r="E21">
        <f ca="1" t="shared" si="1"/>
        <v>1</v>
      </c>
      <c r="F21">
        <f>G60</f>
        <v>2.5</v>
      </c>
      <c r="G21">
        <f>数据表!T21*100</f>
        <v>741469.090909091</v>
      </c>
      <c r="H21">
        <f ca="1">数据表!R21+C21*1500-B21*1500</f>
        <v>13241.6666666395</v>
      </c>
      <c r="I21">
        <f ca="1" t="shared" si="2"/>
        <v>55.995148463986</v>
      </c>
      <c r="J21">
        <f>'倾向-优先级表'!D6</f>
        <v>137.53</v>
      </c>
      <c r="K21">
        <f ca="1" t="shared" si="7"/>
        <v>-1079657.32575383</v>
      </c>
      <c r="L21">
        <f ca="1" t="shared" si="3"/>
        <v>21241.6666666395</v>
      </c>
      <c r="M21">
        <f ca="1" t="shared" si="4"/>
        <v>34.9063518670871</v>
      </c>
      <c r="N21">
        <f ca="1">G34</f>
        <v>73.7345231129712</v>
      </c>
      <c r="O21">
        <f ca="1" t="shared" si="5"/>
        <v>-824775.070880266</v>
      </c>
      <c r="P21">
        <f ca="1">IF(E21=1,数据表!U21,IF(D21=1,K21,O21))</f>
        <v>-135284.659090909</v>
      </c>
      <c r="Q21">
        <f ca="1">COUNTIF(P22:P29,"&gt;"&amp;P21)+COUNTIF(P3:P20,"&gt;="&amp;P21)+1</f>
        <v>8</v>
      </c>
      <c r="R21" t="s">
        <v>246</v>
      </c>
      <c r="S21">
        <f ca="1" t="shared" si="6"/>
        <v>-135284.659090909</v>
      </c>
    </row>
    <row r="22" ht="15.6" spans="1:19">
      <c r="A22" s="19" t="s">
        <v>251</v>
      </c>
      <c r="B22" s="6">
        <v>2</v>
      </c>
      <c r="C22">
        <f ca="1">数据表!K39</f>
        <v>8.57777777775964</v>
      </c>
      <c r="D22">
        <f ca="1" t="shared" si="0"/>
        <v>1</v>
      </c>
      <c r="E22">
        <f ca="1" t="shared" si="1"/>
        <v>1</v>
      </c>
      <c r="F22">
        <f>G60</f>
        <v>2.5</v>
      </c>
      <c r="G22">
        <f>数据表!T22*100</f>
        <v>185367.272727273</v>
      </c>
      <c r="H22">
        <f ca="1">数据表!R22+C22*1500-B22*1500</f>
        <v>13241.6666666395</v>
      </c>
      <c r="I22">
        <f ca="1" t="shared" si="2"/>
        <v>13.9987871159965</v>
      </c>
      <c r="J22">
        <f>'倾向-优先级表'!D6</f>
        <v>137.53</v>
      </c>
      <c r="K22">
        <f ca="1" t="shared" si="7"/>
        <v>-1635759.14393565</v>
      </c>
      <c r="L22">
        <f ca="1" t="shared" si="3"/>
        <v>21241.6666666395</v>
      </c>
      <c r="M22">
        <f ca="1" t="shared" si="4"/>
        <v>8.72658796677178</v>
      </c>
      <c r="N22">
        <f ca="1">G34</f>
        <v>73.7345231129712</v>
      </c>
      <c r="O22">
        <f ca="1" t="shared" si="5"/>
        <v>-1380876.88906208</v>
      </c>
      <c r="P22">
        <f ca="1">IF(E22=1,数据表!U22,IF(D22=1,K22,O22))</f>
        <v>-278796.477272727</v>
      </c>
      <c r="Q22">
        <f ca="1">COUNTIF(P23:P29,"&gt;"&amp;P22)+COUNTIF(P3:P21,"&gt;="&amp;P22)+1</f>
        <v>15</v>
      </c>
      <c r="R22" t="s">
        <v>248</v>
      </c>
      <c r="S22">
        <f ca="1" t="shared" si="6"/>
        <v>-278796.477272727</v>
      </c>
    </row>
    <row r="23" ht="16.35" spans="1:19">
      <c r="A23" s="24" t="s">
        <v>251</v>
      </c>
      <c r="B23" s="25">
        <v>2</v>
      </c>
      <c r="C23">
        <f ca="1">数据表!K39</f>
        <v>8.57777777775964</v>
      </c>
      <c r="D23">
        <f ca="1" t="shared" si="0"/>
        <v>1</v>
      </c>
      <c r="E23">
        <f ca="1" t="shared" si="1"/>
        <v>1</v>
      </c>
      <c r="F23">
        <f>G60</f>
        <v>2.5</v>
      </c>
      <c r="G23">
        <f>数据表!T23*100</f>
        <v>216261.818181818</v>
      </c>
      <c r="H23">
        <f ca="1">数据表!R23+C23*1500-B23*1500</f>
        <v>13241.6666666395</v>
      </c>
      <c r="I23">
        <f ca="1" t="shared" si="2"/>
        <v>16.3319183019959</v>
      </c>
      <c r="J23">
        <f>'倾向-优先级表'!D6</f>
        <v>137.53</v>
      </c>
      <c r="K23">
        <f ca="1" t="shared" si="7"/>
        <v>-1604864.59848111</v>
      </c>
      <c r="L23">
        <f ca="1" t="shared" si="3"/>
        <v>21241.6666666395</v>
      </c>
      <c r="M23">
        <f ca="1" t="shared" si="4"/>
        <v>10.181019294567</v>
      </c>
      <c r="N23">
        <f ca="1">G34</f>
        <v>73.7345231129712</v>
      </c>
      <c r="O23">
        <f ca="1" t="shared" si="5"/>
        <v>-1349982.34360754</v>
      </c>
      <c r="P23">
        <f ca="1">IF(E23=1,数据表!U23,IF(D23=1,K23,O23))</f>
        <v>-247901.931818182</v>
      </c>
      <c r="Q23">
        <f ca="1">COUNTIF(P24:P29,"&gt;"&amp;P23)+COUNTIF(P3:P22,"&gt;="&amp;P23)+1</f>
        <v>12</v>
      </c>
      <c r="R23" t="s">
        <v>249</v>
      </c>
      <c r="S23">
        <f ca="1" t="shared" si="6"/>
        <v>-247901.931818182</v>
      </c>
    </row>
    <row r="24" ht="15.6" spans="1:19">
      <c r="A24" s="26" t="s">
        <v>254</v>
      </c>
      <c r="B24" s="27">
        <v>4</v>
      </c>
      <c r="C24">
        <f ca="1">数据表!K39</f>
        <v>8.57777777775964</v>
      </c>
      <c r="D24">
        <f ca="1" t="shared" si="0"/>
        <v>1</v>
      </c>
      <c r="E24">
        <f ca="1" t="shared" si="1"/>
        <v>1</v>
      </c>
      <c r="F24">
        <f>G60</f>
        <v>2.5</v>
      </c>
      <c r="G24">
        <f>数据表!T24*100</f>
        <v>605018.181818182</v>
      </c>
      <c r="H24">
        <f ca="1">数据表!R24+C24*1500-B24*1500</f>
        <v>13241.6666666395</v>
      </c>
      <c r="I24">
        <f ca="1" t="shared" si="2"/>
        <v>45.6904857258219</v>
      </c>
      <c r="J24">
        <f>'倾向-优先级表'!D6</f>
        <v>137.53</v>
      </c>
      <c r="K24">
        <f ca="1" t="shared" si="7"/>
        <v>-1216108.23484474</v>
      </c>
      <c r="L24">
        <f ca="1" t="shared" si="3"/>
        <v>21241.6666666395</v>
      </c>
      <c r="M24">
        <f ca="1" t="shared" si="4"/>
        <v>28.4826135026578</v>
      </c>
      <c r="N24">
        <f ca="1">G34</f>
        <v>73.7345231129712</v>
      </c>
      <c r="O24">
        <f ca="1" t="shared" si="5"/>
        <v>-961225.979971175</v>
      </c>
      <c r="P24">
        <f ca="1">IF(E24=1,数据表!U24,IF(D24=1,K24,O24))</f>
        <v>-271735.568181818</v>
      </c>
      <c r="Q24">
        <f ca="1">COUNTIF(P25:P29,"&gt;"&amp;P24)+COUNTIF(P3:P23,"&gt;="&amp;P24)+1</f>
        <v>14</v>
      </c>
      <c r="R24" t="s">
        <v>250</v>
      </c>
      <c r="S24">
        <f ca="1" t="shared" si="6"/>
        <v>-271735.568181818</v>
      </c>
    </row>
    <row r="25" ht="15.6" spans="1:19">
      <c r="A25" s="15" t="s">
        <v>256</v>
      </c>
      <c r="B25" s="16">
        <v>6</v>
      </c>
      <c r="C25">
        <f ca="1">数据表!K39</f>
        <v>8.57777777775964</v>
      </c>
      <c r="D25">
        <f ca="1" t="shared" si="0"/>
        <v>1</v>
      </c>
      <c r="E25">
        <f ca="1" t="shared" si="1"/>
        <v>1</v>
      </c>
      <c r="F25">
        <f>G60</f>
        <v>2.5</v>
      </c>
      <c r="G25">
        <f>数据表!T25*100</f>
        <v>370734.545454545</v>
      </c>
      <c r="H25">
        <f ca="1">数据表!R25+C25*1500-B25*1500</f>
        <v>13241.6666666395</v>
      </c>
      <c r="I25">
        <f ca="1" t="shared" si="2"/>
        <v>27.997574231993</v>
      </c>
      <c r="J25">
        <f>'倾向-优先级表'!D6</f>
        <v>137.53</v>
      </c>
      <c r="K25">
        <f ca="1" t="shared" si="7"/>
        <v>-1450391.87120838</v>
      </c>
      <c r="L25">
        <f ca="1" t="shared" si="3"/>
        <v>21241.6666666395</v>
      </c>
      <c r="M25">
        <f ca="1" t="shared" si="4"/>
        <v>17.4531759335435</v>
      </c>
      <c r="N25">
        <f ca="1">G34</f>
        <v>73.7345231129712</v>
      </c>
      <c r="O25">
        <f ca="1" t="shared" si="5"/>
        <v>-1195509.61633481</v>
      </c>
      <c r="P25">
        <f ca="1">IF(E25=1,数据表!U25,IF(D25=1,K25,O25))</f>
        <v>-918609.204545455</v>
      </c>
      <c r="Q25">
        <f ca="1">COUNTIF(P26:P29,"&gt;"&amp;P25)+COUNTIF(P3:P24,"&gt;="&amp;P25)+1</f>
        <v>23</v>
      </c>
      <c r="R25" t="s">
        <v>252</v>
      </c>
      <c r="S25">
        <f ca="1" t="shared" si="6"/>
        <v>-918609.204545455</v>
      </c>
    </row>
    <row r="26" ht="15.6" spans="1:19">
      <c r="A26" s="7" t="s">
        <v>256</v>
      </c>
      <c r="B26" s="8">
        <v>8</v>
      </c>
      <c r="C26">
        <f ca="1">数据表!K39</f>
        <v>8.57777777775964</v>
      </c>
      <c r="D26">
        <f ca="1" t="shared" si="0"/>
        <v>1</v>
      </c>
      <c r="E26">
        <f ca="1" t="shared" si="1"/>
        <v>0</v>
      </c>
      <c r="F26">
        <f>G60</f>
        <v>2.5</v>
      </c>
      <c r="G26">
        <f>数据表!T26*100</f>
        <v>499461.818181818</v>
      </c>
      <c r="H26">
        <f ca="1">数据表!R26+C26*1500-B26*1500</f>
        <v>13241.6666666395</v>
      </c>
      <c r="I26">
        <f ca="1" t="shared" si="2"/>
        <v>37.7189541736572</v>
      </c>
      <c r="J26">
        <f>'倾向-优先级表'!D6</f>
        <v>137.53</v>
      </c>
      <c r="K26">
        <f ca="1" t="shared" si="7"/>
        <v>-1321664.59848111</v>
      </c>
      <c r="L26">
        <f ca="1" t="shared" si="3"/>
        <v>21241.6666666395</v>
      </c>
      <c r="M26">
        <f ca="1" t="shared" si="4"/>
        <v>23.5133064660239</v>
      </c>
      <c r="N26">
        <f ca="1">G34</f>
        <v>73.7345231129712</v>
      </c>
      <c r="O26">
        <f ca="1" t="shared" si="5"/>
        <v>-1066782.34360754</v>
      </c>
      <c r="P26">
        <f ca="1">IF(E26=1,数据表!U26,IF(D26=1,K26,O26))</f>
        <v>-1321664.59848111</v>
      </c>
      <c r="Q26">
        <f ca="1">COUNTIF(P27:P29,"&gt;"&amp;P26)+COUNTIF(P3:P25,"&gt;="&amp;P26)+1</f>
        <v>26</v>
      </c>
      <c r="R26" t="s">
        <v>253</v>
      </c>
      <c r="S26">
        <f ca="1" t="shared" si="6"/>
        <v>-1321664.59848111</v>
      </c>
    </row>
    <row r="27" ht="16.35" spans="1:19">
      <c r="A27" s="17" t="s">
        <v>256</v>
      </c>
      <c r="B27" s="18">
        <v>12</v>
      </c>
      <c r="C27">
        <f ca="1">数据表!K39</f>
        <v>8.57777777775964</v>
      </c>
      <c r="D27">
        <f ca="1" t="shared" si="0"/>
        <v>0</v>
      </c>
      <c r="E27">
        <f ca="1" t="shared" si="1"/>
        <v>0</v>
      </c>
      <c r="F27">
        <f>G60</f>
        <v>2.5</v>
      </c>
      <c r="G27">
        <f>数据表!T27*100</f>
        <v>641061.818181818</v>
      </c>
      <c r="H27">
        <f ca="1">数据表!R27+C27*1500-B27*1500</f>
        <v>13241.6666666395</v>
      </c>
      <c r="I27">
        <f ca="1" t="shared" si="2"/>
        <v>48.4124721094879</v>
      </c>
      <c r="J27">
        <f>'倾向-优先级表'!D6</f>
        <v>137.53</v>
      </c>
      <c r="K27">
        <f ca="1" t="shared" si="7"/>
        <v>-1180064.59848111</v>
      </c>
      <c r="L27">
        <f ca="1" t="shared" si="3"/>
        <v>21241.6666666395</v>
      </c>
      <c r="M27">
        <f ca="1" t="shared" si="4"/>
        <v>30.1794500517523</v>
      </c>
      <c r="N27">
        <f ca="1">G34</f>
        <v>73.7345231129712</v>
      </c>
      <c r="O27">
        <f ca="1" t="shared" si="5"/>
        <v>-925182.343607539</v>
      </c>
      <c r="P27">
        <f ca="1">IF(E27=1,数据表!U27,IF(D27=1,K27,O27))</f>
        <v>-925182.343607539</v>
      </c>
      <c r="Q27">
        <f ca="1">COUNTIF(P28:P29,"&gt;"&amp;P27)+COUNTIF(P3:P26,"&gt;="&amp;P27)+1</f>
        <v>24</v>
      </c>
      <c r="R27" t="s">
        <v>255</v>
      </c>
      <c r="S27">
        <f ca="1" t="shared" si="6"/>
        <v>-925182.343607539</v>
      </c>
    </row>
    <row r="28" ht="16.35" spans="1:19">
      <c r="A28" s="28" t="s">
        <v>258</v>
      </c>
      <c r="B28" s="29">
        <v>3</v>
      </c>
      <c r="C28">
        <f ca="1">数据表!K39</f>
        <v>8.57777777775964</v>
      </c>
      <c r="D28">
        <f ca="1" t="shared" si="0"/>
        <v>1</v>
      </c>
      <c r="E28">
        <f ca="1" t="shared" si="1"/>
        <v>1</v>
      </c>
      <c r="F28">
        <f>G60</f>
        <v>2.5</v>
      </c>
      <c r="G28">
        <f>数据表!T28*100</f>
        <v>169920</v>
      </c>
      <c r="H28">
        <f ca="1">数据表!R28+C28*1500-B28*1500</f>
        <v>13241.6666666395</v>
      </c>
      <c r="I28">
        <f ca="1" t="shared" si="2"/>
        <v>12.8322215229968</v>
      </c>
      <c r="J28">
        <f>'倾向-优先级表'!D6</f>
        <v>137.53</v>
      </c>
      <c r="K28">
        <f ca="1" t="shared" si="7"/>
        <v>-1651206.41666292</v>
      </c>
      <c r="L28">
        <f ca="1" t="shared" si="3"/>
        <v>21241.6666666395</v>
      </c>
      <c r="M28">
        <f ca="1" t="shared" si="4"/>
        <v>7.99937230287412</v>
      </c>
      <c r="N28">
        <f ca="1">G34</f>
        <v>73.7345231129712</v>
      </c>
      <c r="O28">
        <f ca="1" t="shared" si="5"/>
        <v>-1396324.16178936</v>
      </c>
      <c r="P28">
        <f ca="1">IF(E28=1,数据表!U28,IF(D28=1,K28,O28))</f>
        <v>-500538.75</v>
      </c>
      <c r="Q28">
        <f ca="1">COUNTIF(P3:P27,"&gt;="&amp;P28)+1+COUNTIF(P29:P29,"&gt;"&amp;P28)</f>
        <v>19</v>
      </c>
      <c r="R28" t="s">
        <v>257</v>
      </c>
      <c r="S28">
        <f ca="1" t="shared" si="6"/>
        <v>-500538.75</v>
      </c>
    </row>
    <row r="29" spans="1:19">
      <c r="A29" t="s">
        <v>363</v>
      </c>
      <c r="B29" s="30">
        <v>1</v>
      </c>
      <c r="C29">
        <f ca="1">数据表!K39</f>
        <v>8.57777777775964</v>
      </c>
      <c r="D29">
        <f ca="1" t="shared" si="0"/>
        <v>1</v>
      </c>
      <c r="E29">
        <f ca="1" t="shared" si="1"/>
        <v>1</v>
      </c>
      <c r="F29">
        <f>F28</f>
        <v>2.5</v>
      </c>
      <c r="G29">
        <v>0</v>
      </c>
      <c r="H29">
        <f ca="1">H7</f>
        <v>13241.6666666395</v>
      </c>
      <c r="I29">
        <v>0</v>
      </c>
      <c r="J29">
        <f>'倾向-优先级表'!D6</f>
        <v>137.53</v>
      </c>
      <c r="K29">
        <f ca="1" t="shared" si="7"/>
        <v>-1821126.41666292</v>
      </c>
      <c r="L29">
        <f ca="1">L7</f>
        <v>21241.6666666395</v>
      </c>
      <c r="O29">
        <f ca="1">-L29*N28</f>
        <v>-1566244.16178936</v>
      </c>
      <c r="P29">
        <f ca="1">IF(E29=1,数据表!W7,IF(D29=1,K29,O29))</f>
        <v>-257868.75</v>
      </c>
      <c r="Q29">
        <f ca="1">COUNTIF(P3:P28,"&gt;="&amp;P29)+1</f>
        <v>13</v>
      </c>
      <c r="R29" t="s">
        <v>364</v>
      </c>
      <c r="S29">
        <f ca="1" t="shared" si="6"/>
        <v>-257868.75</v>
      </c>
    </row>
    <row r="30" spans="2:2">
      <c r="B30" s="30"/>
    </row>
    <row r="31" spans="2:2">
      <c r="B31" s="30"/>
    </row>
    <row r="32" spans="4:5">
      <c r="D32" t="s">
        <v>365</v>
      </c>
      <c r="E32">
        <f ca="1">E34*'倾向-优先级表'!F115+'倾向-优先级表'!G115*F34</f>
        <v>24866.6666666395</v>
      </c>
    </row>
    <row r="33" spans="1:14">
      <c r="A33" t="s">
        <v>366</v>
      </c>
      <c r="B33" t="s">
        <v>367</v>
      </c>
      <c r="C33" t="s">
        <v>368</v>
      </c>
      <c r="D33" t="s">
        <v>369</v>
      </c>
      <c r="E33" t="s">
        <v>370</v>
      </c>
      <c r="F33" t="s">
        <v>371</v>
      </c>
      <c r="G33" t="s">
        <v>357</v>
      </c>
      <c r="H33" t="s">
        <v>109</v>
      </c>
      <c r="I33" t="s">
        <v>262</v>
      </c>
      <c r="K33" t="s">
        <v>264</v>
      </c>
      <c r="L33" t="s">
        <v>372</v>
      </c>
      <c r="M33" s="31" t="s">
        <v>373</v>
      </c>
      <c r="N33" s="31"/>
    </row>
    <row r="34" spans="1:13">
      <c r="A34">
        <f>白天模拟!Z28</f>
        <v>3703.68789580798</v>
      </c>
      <c r="B34">
        <f>白天模拟!AA28</f>
        <v>5093.65366576978</v>
      </c>
      <c r="C34">
        <f>夜晚模拟!Z28</f>
        <v>12119.8436730445</v>
      </c>
      <c r="D34">
        <f>夜晚模拟!AA28</f>
        <v>6403.10831084476</v>
      </c>
      <c r="E34">
        <f ca="1">数据表!K39</f>
        <v>8.57777777775964</v>
      </c>
      <c r="F34">
        <f>24-'倾向-优先级表'!I13</f>
        <v>8</v>
      </c>
      <c r="G34">
        <f ca="1">(B34*E34+D34*F34)/(A34*E34+C34*F34)*100</f>
        <v>73.7345231129712</v>
      </c>
      <c r="H34">
        <f ca="1">(NOW()-INT(NOW()))*24</f>
        <v>15.2555555555737</v>
      </c>
      <c r="I34">
        <f>(当前时间项目推荐!C16-INT(当前时间项目推荐!C16))*24</f>
        <v>23.8333333333334</v>
      </c>
      <c r="J34">
        <f>IF(I34-'倾向-优先级表'!I13&lt;0,I34+24,I34)</f>
        <v>23.8333333333334</v>
      </c>
      <c r="K34">
        <f ca="1">J34-H34</f>
        <v>8.57777777775974</v>
      </c>
      <c r="L34">
        <f ca="1">K34/白天模拟!R28+1</f>
        <v>4.66662291457067</v>
      </c>
      <c r="M34">
        <f ca="1">COUNTIF(S3:S29,"&gt;0")</f>
        <v>6</v>
      </c>
    </row>
    <row r="35" spans="6:12">
      <c r="F35" s="31"/>
      <c r="G35" s="31"/>
      <c r="K35">
        <f ca="1">J34-H34</f>
        <v>8.57777777775974</v>
      </c>
      <c r="L35">
        <f>'倾向-优先级表'!H14</f>
        <v>11</v>
      </c>
    </row>
    <row r="36" spans="12:12">
      <c r="L36">
        <f>'倾向-优先级表'!M14</f>
        <v>14</v>
      </c>
    </row>
    <row r="37" spans="11:11">
      <c r="K37">
        <f ca="1">1+1/(白天模拟!R29+1)-1/L34</f>
        <v>0.913515381599504</v>
      </c>
    </row>
    <row r="38" spans="11:11">
      <c r="K38">
        <f ca="1">IF(K34&gt;2.5,L35,((K34*L35+(2.5-K34)*L36)/2.5))</f>
        <v>11</v>
      </c>
    </row>
    <row r="39" spans="10:11">
      <c r="J39" t="s">
        <v>307</v>
      </c>
      <c r="K39">
        <f ca="1">ROUND((K38-M34)*K37+M34,0)</f>
        <v>11</v>
      </c>
    </row>
    <row r="60" spans="6:9">
      <c r="F60" t="s">
        <v>374</v>
      </c>
      <c r="G60">
        <f>2.5</f>
        <v>2.5</v>
      </c>
      <c r="H60" t="s">
        <v>375</v>
      </c>
      <c r="I60" t="e">
        <f>IF(当前时间项目推荐!#REF!=0,0.92,0.85)</f>
        <v>#REF!</v>
      </c>
    </row>
    <row r="94" spans="23:25">
      <c r="W94" t="s">
        <v>208</v>
      </c>
      <c r="X94">
        <f>数据表!H3</f>
        <v>16</v>
      </c>
      <c r="Y94" t="e">
        <f>#REF!</f>
        <v>#REF!</v>
      </c>
    </row>
    <row r="95" spans="23:25">
      <c r="W95" t="s">
        <v>214</v>
      </c>
      <c r="X95">
        <f>数据表!H4</f>
        <v>21</v>
      </c>
      <c r="Y95" t="e">
        <f>#REF!</f>
        <v>#REF!</v>
      </c>
    </row>
    <row r="96" spans="23:25">
      <c r="W96" t="s">
        <v>225</v>
      </c>
      <c r="X96">
        <f>数据表!H5</f>
        <v>25</v>
      </c>
      <c r="Y96" t="e">
        <f>#REF!</f>
        <v>#REF!</v>
      </c>
    </row>
    <row r="97" spans="23:25">
      <c r="W97" t="s">
        <v>227</v>
      </c>
      <c r="X97">
        <f>数据表!H6</f>
        <v>7</v>
      </c>
      <c r="Y97" t="e">
        <f>#REF!</f>
        <v>#REF!</v>
      </c>
    </row>
    <row r="98" spans="23:25">
      <c r="W98" t="s">
        <v>228</v>
      </c>
      <c r="X98">
        <f>数据表!H7</f>
        <v>6</v>
      </c>
      <c r="Y98" t="e">
        <f>#REF!</f>
        <v>#REF!</v>
      </c>
    </row>
    <row r="99" spans="23:25">
      <c r="W99" t="s">
        <v>229</v>
      </c>
      <c r="X99">
        <f>数据表!H8</f>
        <v>5</v>
      </c>
      <c r="Y99" t="e">
        <f>#REF!</f>
        <v>#REF!</v>
      </c>
    </row>
    <row r="100" spans="23:25">
      <c r="W100" t="s">
        <v>231</v>
      </c>
      <c r="X100">
        <f>数据表!H9</f>
        <v>4</v>
      </c>
      <c r="Y100" t="e">
        <f>#REF!</f>
        <v>#REF!</v>
      </c>
    </row>
    <row r="101" spans="23:25">
      <c r="W101" t="s">
        <v>233</v>
      </c>
      <c r="X101">
        <f>数据表!H10</f>
        <v>1</v>
      </c>
      <c r="Y101" t="e">
        <f>#REF!</f>
        <v>#REF!</v>
      </c>
    </row>
    <row r="102" spans="23:25">
      <c r="W102" t="s">
        <v>234</v>
      </c>
      <c r="X102">
        <f>数据表!H11</f>
        <v>11</v>
      </c>
      <c r="Y102" t="e">
        <f>#REF!</f>
        <v>#REF!</v>
      </c>
    </row>
    <row r="103" spans="23:25">
      <c r="W103" t="s">
        <v>235</v>
      </c>
      <c r="X103">
        <f>数据表!H12</f>
        <v>19</v>
      </c>
      <c r="Y103" t="e">
        <f>#REF!</f>
        <v>#REF!</v>
      </c>
    </row>
    <row r="104" spans="23:25">
      <c r="W104" t="s">
        <v>236</v>
      </c>
      <c r="X104">
        <f>数据表!H13</f>
        <v>22</v>
      </c>
      <c r="Y104" t="e">
        <f>#REF!</f>
        <v>#REF!</v>
      </c>
    </row>
    <row r="105" spans="23:25">
      <c r="W105" t="s">
        <v>238</v>
      </c>
      <c r="X105">
        <f>数据表!H14</f>
        <v>3</v>
      </c>
      <c r="Y105" t="e">
        <f>#REF!</f>
        <v>#REF!</v>
      </c>
    </row>
    <row r="106" spans="23:25">
      <c r="W106" t="s">
        <v>239</v>
      </c>
      <c r="X106">
        <f>数据表!H15</f>
        <v>10</v>
      </c>
      <c r="Y106" t="e">
        <f>#REF!</f>
        <v>#REF!</v>
      </c>
    </row>
    <row r="107" spans="23:25">
      <c r="W107" t="s">
        <v>240</v>
      </c>
      <c r="X107">
        <f>数据表!H16</f>
        <v>17</v>
      </c>
      <c r="Y107" t="e">
        <f>#REF!</f>
        <v>#REF!</v>
      </c>
    </row>
    <row r="108" spans="23:25">
      <c r="W108" t="s">
        <v>241</v>
      </c>
      <c r="X108">
        <f>数据表!H17</f>
        <v>20</v>
      </c>
      <c r="Y108" t="e">
        <f>#REF!</f>
        <v>#REF!</v>
      </c>
    </row>
    <row r="109" spans="23:25">
      <c r="W109" t="s">
        <v>243</v>
      </c>
      <c r="X109">
        <f>数据表!H18</f>
        <v>2</v>
      </c>
      <c r="Y109" t="e">
        <f>#REF!</f>
        <v>#REF!</v>
      </c>
    </row>
    <row r="110" spans="23:25">
      <c r="W110" t="s">
        <v>244</v>
      </c>
      <c r="X110">
        <f>数据表!H19</f>
        <v>9</v>
      </c>
      <c r="Y110" t="e">
        <f>#REF!</f>
        <v>#REF!</v>
      </c>
    </row>
    <row r="111" spans="23:25">
      <c r="W111" s="30" t="s">
        <v>245</v>
      </c>
      <c r="X111">
        <f>数据表!H20</f>
        <v>15</v>
      </c>
      <c r="Y111" t="e">
        <f>#REF!</f>
        <v>#REF!</v>
      </c>
    </row>
    <row r="112" spans="23:25">
      <c r="W112" t="s">
        <v>246</v>
      </c>
      <c r="X112">
        <f>数据表!H21</f>
        <v>8</v>
      </c>
      <c r="Y112" t="e">
        <f>#REF!</f>
        <v>#REF!</v>
      </c>
    </row>
    <row r="113" spans="23:25">
      <c r="W113" t="s">
        <v>248</v>
      </c>
      <c r="X113">
        <f>数据表!H22</f>
        <v>14</v>
      </c>
      <c r="Y113" t="e">
        <f>#REF!</f>
        <v>#REF!</v>
      </c>
    </row>
    <row r="114" spans="23:25">
      <c r="W114" t="s">
        <v>249</v>
      </c>
      <c r="X114">
        <f>数据表!H23</f>
        <v>12</v>
      </c>
      <c r="Y114" t="e">
        <f>#REF!</f>
        <v>#REF!</v>
      </c>
    </row>
    <row r="115" spans="23:25">
      <c r="W115" t="s">
        <v>250</v>
      </c>
      <c r="X115">
        <f>数据表!H24</f>
        <v>13</v>
      </c>
      <c r="Y115" t="e">
        <f>#REF!</f>
        <v>#REF!</v>
      </c>
    </row>
    <row r="116" spans="23:25">
      <c r="W116" t="s">
        <v>252</v>
      </c>
      <c r="X116">
        <f>数据表!H25</f>
        <v>23</v>
      </c>
      <c r="Y116" t="e">
        <f>#REF!</f>
        <v>#REF!</v>
      </c>
    </row>
    <row r="117" spans="23:25">
      <c r="W117" t="s">
        <v>253</v>
      </c>
      <c r="X117">
        <f>数据表!H26</f>
        <v>24</v>
      </c>
      <c r="Y117" t="e">
        <f>#REF!</f>
        <v>#REF!</v>
      </c>
    </row>
    <row r="118" spans="23:25">
      <c r="W118" t="s">
        <v>255</v>
      </c>
      <c r="X118">
        <f>数据表!H27</f>
        <v>26</v>
      </c>
      <c r="Y118" t="e">
        <f>#REF!</f>
        <v>#REF!</v>
      </c>
    </row>
    <row r="119" spans="23:25">
      <c r="W119" t="s">
        <v>257</v>
      </c>
      <c r="X119">
        <f>数据表!H28</f>
        <v>18</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2022-05-15T07:15:41Z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2052-11.1.0.11691</vt:lpwstr>
  </property>
  <property fmtid="{D5CDD505-2E9C-101B-9397-08002B2CF9AE}" pid="4" name="KSOReadingLayout">
    <vt:bool>true</vt:bool>
  </property>
</Properties>
</file>