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bookViews>
  <sheets>
    <sheet name="倾向-优先级表" sheetId="5" r:id="rId1"/>
    <sheet name="当前时间项目推荐" sheetId="14" r:id="rId2"/>
    <sheet name="表格使用说明" sheetId="8" r:id="rId3"/>
    <sheet name="数据表" sheetId="10" r:id="rId4"/>
    <sheet name="白天模拟" sheetId="11" r:id="rId5"/>
    <sheet name="夜晚模拟" sheetId="12" r:id="rId6"/>
    <sheet name="当前时间策略" sheetId="13" r:id="rId7"/>
  </sheets>
  <calcPr calcId="144525"/>
</workbook>
</file>

<file path=xl/sharedStrings.xml><?xml version="1.0" encoding="utf-8"?>
<sst xmlns="http://schemas.openxmlformats.org/spreadsheetml/2006/main" count="760" uniqueCount="345">
  <si>
    <t>查看表格使用说明</t>
  </si>
  <si>
    <t>根据自身倾向，制订只属于你的科研策略吧</t>
  </si>
  <si>
    <t>确定自身倾向后，可以查看当前时间的最优策略</t>
  </si>
  <si>
    <t>当你是第一次填写这个表格，或者对填写有疑问，请看看表格使用说明</t>
  </si>
  <si>
    <t>白天科研性价比期望</t>
  </si>
  <si>
    <t>性价比参考值</t>
  </si>
  <si>
    <t>手动把参考值手动抄到性价比期望栏目来迭代修正</t>
  </si>
  <si>
    <t>如果某个格子填写有问题，会以红色粗体标出</t>
  </si>
  <si>
    <t>夜晚科研性价比期望</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</si>
  <si>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</si>
  <si>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</si>
  <si>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</si>
  <si>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</si>
  <si>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</si>
  <si>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</si>
  <si>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</si>
  <si>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</si>
  <si>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缺心智倾向：</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</si>
  <si>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</si>
  <si>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</si>
  <si>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</si>
  <si>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</si>
  <si>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</si>
  <si>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</si>
  <si>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</si>
  <si>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</si>
  <si>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</si>
  <si>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</si>
  <si>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</si>
  <si>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</si>
  <si>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</si>
  <si>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</si>
  <si>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 xml:space="preserve">白天排行
</t>
  </si>
  <si>
    <t>项目排名</t>
  </si>
  <si>
    <t>项目名称</t>
  </si>
  <si>
    <t>是否过滤</t>
  </si>
  <si>
    <t xml:space="preserve">夜晚排行
</t>
  </si>
  <si>
    <t>日均投入时间</t>
  </si>
  <si>
    <t>每日彩飞机收入：</t>
  </si>
  <si>
    <t>彩飞机年产量：</t>
  </si>
  <si>
    <t>架</t>
  </si>
  <si>
    <t>日均收菜次数</t>
  </si>
  <si>
    <t>每日彩船图纸收入：</t>
  </si>
  <si>
    <t>日均消耗魔方</t>
  </si>
  <si>
    <t>每日金船图纸收入：</t>
  </si>
  <si>
    <t>日均消耗物资</t>
  </si>
  <si>
    <t>每日心智单元收入：</t>
  </si>
  <si>
    <t>每日使用刷新概率：</t>
  </si>
  <si>
    <t>白天过滤失败概率：</t>
  </si>
  <si>
    <t>白天刷新科研概率</t>
  </si>
  <si>
    <t>每日过滤失败概率：</t>
  </si>
  <si>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</si>
  <si>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</si>
  <si>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</si>
  <si>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</si>
  <si>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</si>
  <si>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</si>
  <si>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</si>
  <si>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</si>
  <si>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</si>
  <si>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</si>
  <si>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</si>
  <si>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</si>
  <si>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</si>
  <si>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</si>
  <si>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</si>
  <si>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</si>
  <si>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</si>
  <si>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</si>
  <si>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</si>
  <si>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</si>
  <si>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</si>
  <si>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</si>
  <si>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</si>
  <si>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</si>
  <si>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</si>
  <si>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</si>
  <si>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</si>
  <si>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</si>
  <si>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</si>
  <si>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</si>
  <si>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</si>
  <si>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</si>
  <si>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</si>
  <si>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</si>
  <si>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</si>
  <si>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</si>
  <si>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</si>
  <si>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</si>
  <si>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</si>
  <si>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</si>
  <si>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</si>
  <si>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</si>
  <si>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</si>
  <si>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</si>
  <si>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</si>
  <si>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</si>
  <si>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</si>
  <si>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</si>
  <si>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</si>
  <si>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</si>
  <si>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</si>
  <si>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</si>
  <si>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</si>
  <si>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（娱乐向）欧气计算仪</t>
  </si>
  <si>
    <t>我的天雷数：</t>
  </si>
  <si>
    <t>舰装优化等导致的偏差</t>
  </si>
  <si>
    <t>天雷产出期望</t>
  </si>
  <si>
    <t>~</t>
  </si>
  <si>
    <t>我的欧气超越了</t>
  </si>
  <si>
    <t>的玩家</t>
  </si>
  <si>
    <t>舰装解析项目加强了约30%导致用现有收入水平预测会导致有一个较大的偏差，偏差等于优化前天雷数x0.3，如果不记得优化前拿了多少，按照自己天雷数目填个1-4之间的值总没错。此外，之前科研策略不够好、物资优化前不敢放开手做科研也会导致偏差，大概3-12张的偏差吧（</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</si>
  <si>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</si>
  <si>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</si>
  <si>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</si>
  <si>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</si>
  <si>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</si>
  <si>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</si>
  <si>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计算结果仅供娱乐，因为优化偏差和策略改进影响难以量化，误差会很大</t>
  </si>
  <si>
    <t>返回主表格</t>
  </si>
  <si>
    <t>表格使用说明</t>
  </si>
  <si>
    <t>点击进入倾向-优先级表</t>
  </si>
  <si>
    <r>
      <rPr>
        <sz val="11"/>
        <rFont val="宋体"/>
        <charset val="134"/>
      </rPr>
      <t>倾向-优先级表中表格的</t>
    </r>
    <r>
      <rPr>
        <sz val="11"/>
        <color rgb="FFFF0000"/>
        <rFont val="宋体"/>
        <charset val="134"/>
      </rPr>
      <t>白色区域</t>
    </r>
    <r>
      <rPr>
        <sz val="11"/>
        <rFont val="宋体"/>
        <charset val="134"/>
      </rPr>
      <t>的</t>
    </r>
    <r>
      <rPr>
        <b/>
        <sz val="11"/>
        <rFont val="宋体"/>
        <charset val="134"/>
      </rPr>
      <t>所有空位</t>
    </r>
    <r>
      <rPr>
        <sz val="11"/>
        <rFont val="宋体"/>
        <charset val="134"/>
      </rPr>
      <t>都需要填，然后</t>
    </r>
    <r>
      <rPr>
        <sz val="11"/>
        <color rgb="FFFF0000"/>
        <rFont val="宋体"/>
        <charset val="134"/>
      </rPr>
      <t>手动抄写性价比期望</t>
    </r>
    <r>
      <rPr>
        <sz val="11"/>
        <rFont val="宋体"/>
        <charset val="134"/>
      </rPr>
      <t>直到性价比期望不再变化。上述操作完成后科研查看项目排序、性价比。再填写自己每天有效科研时间后可查看每日的科研收益。（数据都汇总了不用去其他表看）</t>
    </r>
  </si>
  <si>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</si>
  <si>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</si>
  <si>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</si>
  <si>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                                                     当日均消耗物资或者魔方超出预计时，调高省物资或者魔方倾向，反之调低。                     当你觉得彩图产出速度太慢，可以调高彩图与金图之间的兑换比，反之调低。                     当你觉得彩飞机产出速度太慢，可以调高彩飞机与彩图之间的兑换比，反之调低。                 当你发现策略过于激进，可以调低过滤门槛（过滤名次数值改高）</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</si>
  <si>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30%左右</t>
  </si>
  <si>
    <t>算全年收益的时候没有计入维护时科研时间的浪费。所以实际的产出大概率会比拉表所得的数据要低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</si>
  <si>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</si>
  <si>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</si>
  <si>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</si>
  <si>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</si>
  <si>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</si>
  <si>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</si>
  <si>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</si>
  <si>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</si>
  <si>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</si>
  <si>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</si>
  <si>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</si>
  <si>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</si>
  <si>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</si>
  <si>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</si>
  <si>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</si>
  <si>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</si>
  <si>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</si>
  <si>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</si>
  <si>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</si>
  <si>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</si>
  <si>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</si>
  <si>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</si>
  <si>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</si>
  <si>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</si>
  <si>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</si>
  <si>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</si>
  <si>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</si>
  <si>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</si>
  <si>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</si>
  <si>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</si>
  <si>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</si>
  <si>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</si>
  <si>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</si>
  <si>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</si>
  <si>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</si>
  <si>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魔方解析1h</t>
  </si>
  <si>
    <t>科研优先级</t>
  </si>
  <si>
    <t>项目性价比</t>
  </si>
  <si>
    <t>项目投入资源</t>
  </si>
  <si>
    <t>项目产出</t>
  </si>
  <si>
    <t>支出与收益计算</t>
  </si>
  <si>
    <t>魔方解析2h</t>
  </si>
  <si>
    <t>项目类别</t>
  </si>
  <si>
    <t>时长</t>
  </si>
  <si>
    <t>白天</t>
  </si>
  <si>
    <t>夜间</t>
  </si>
  <si>
    <t>彩飞机</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</si>
  <si>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</si>
  <si>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</si>
  <si>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</si>
  <si>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</si>
  <si>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</si>
  <si>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</si>
  <si>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</si>
  <si>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</si>
  <si>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</si>
  <si>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</si>
  <si>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</si>
  <si>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</si>
  <si>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</si>
  <si>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</si>
  <si>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</si>
  <si>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</si>
  <si>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</si>
  <si>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</si>
  <si>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</si>
  <si>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</si>
  <si>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</si>
  <si>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</si>
  <si>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</si>
  <si>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</si>
  <si>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</si>
  <si>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</si>
  <si>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</si>
  <si>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</si>
  <si>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</si>
  <si>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</si>
  <si>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</si>
  <si>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</si>
  <si>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</si>
  <si>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</si>
  <si>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</si>
  <si>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</si>
  <si>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</si>
  <si>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</si>
  <si>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</si>
  <si>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</si>
  <si>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</si>
  <si>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</si>
  <si>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</si>
  <si>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</si>
  <si>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</si>
  <si>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</si>
  <si>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</si>
  <si>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</si>
  <si>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</si>
  <si>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</si>
  <si>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</si>
  <si>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</si>
  <si>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</si>
  <si>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</si>
  <si>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金彩比</t>
  </si>
  <si>
    <t>4期时间</t>
  </si>
  <si>
    <t>p1</t>
  </si>
  <si>
    <t>1-p1</t>
  </si>
  <si>
    <t>σ</t>
  </si>
  <si>
    <t>p2</t>
  </si>
  <si>
    <t>修正</t>
  </si>
  <si>
    <t>n</t>
  </si>
  <si>
    <t>p</t>
  </si>
  <si>
    <t>方差</t>
  </si>
  <si>
    <t>期望</t>
  </si>
  <si>
    <t>标准差</t>
  </si>
  <si>
    <t>3西格玛</t>
  </si>
  <si>
    <t>min</t>
  </si>
  <si>
    <t>max</t>
  </si>
  <si>
    <t>实际范围</t>
  </si>
  <si>
    <t>出现频率</t>
  </si>
  <si>
    <t>出现率</t>
  </si>
  <si>
    <t>前3格出现率</t>
  </si>
  <si>
    <t>后2格出现率</t>
  </si>
  <si>
    <t>总刷新概率</t>
  </si>
  <si>
    <t>前3格无更好</t>
  </si>
  <si>
    <t>后2格无更好</t>
  </si>
  <si>
    <t>重复率1</t>
  </si>
  <si>
    <t>重复率2</t>
  </si>
  <si>
    <t>前3格选取率</t>
  </si>
  <si>
    <t>后3格选取率</t>
  </si>
  <si>
    <t>综合选取率</t>
  </si>
  <si>
    <t>过滤名次</t>
  </si>
  <si>
    <t>实际选取率</t>
  </si>
  <si>
    <t>修正选取率</t>
  </si>
  <si>
    <t>过滤失败选取率</t>
  </si>
  <si>
    <t>修正选取率2</t>
  </si>
  <si>
    <t>产出金图</t>
  </si>
  <si>
    <t>产出彩图</t>
  </si>
  <si>
    <t>产出飞机</t>
  </si>
  <si>
    <t>项目支出</t>
  </si>
  <si>
    <t>期望金图</t>
  </si>
  <si>
    <t>期望彩图</t>
  </si>
  <si>
    <t>期望飞机</t>
  </si>
  <si>
    <t>亏损金图</t>
  </si>
  <si>
    <t>亏损彩图</t>
  </si>
  <si>
    <t>亏损飞机</t>
  </si>
  <si>
    <t>时间消耗</t>
  </si>
  <si>
    <t>船定向</t>
  </si>
  <si>
    <t>4期金池</t>
  </si>
  <si>
    <t>平均每次过滤失败亏损</t>
  </si>
  <si>
    <t>4期彩池</t>
  </si>
  <si>
    <t>平均每日过滤失败亏损</t>
  </si>
  <si>
    <t>23期船池</t>
  </si>
  <si>
    <t>选取率</t>
  </si>
  <si>
    <t>有更好项目</t>
  </si>
  <si>
    <t>前3</t>
  </si>
  <si>
    <t>后2</t>
  </si>
  <si>
    <t>项目选取率</t>
  </si>
  <si>
    <t>项目收益</t>
  </si>
  <si>
    <t>总收益</t>
  </si>
  <si>
    <t>总支出</t>
  </si>
  <si>
    <t>产出期望</t>
  </si>
  <si>
    <t>期望耗时</t>
  </si>
  <si>
    <t>总时长</t>
  </si>
  <si>
    <t>单次投入</t>
  </si>
  <si>
    <t>投入期望</t>
  </si>
  <si>
    <t>金装备</t>
  </si>
  <si>
    <t>心智收入</t>
  </si>
  <si>
    <t>合计</t>
  </si>
  <si>
    <t>合计选取率</t>
  </si>
  <si>
    <t>合计收入</t>
  </si>
  <si>
    <t>合计支出</t>
  </si>
  <si>
    <t>性价比</t>
  </si>
  <si>
    <t>每日收益</t>
  </si>
  <si>
    <t>每日投入</t>
  </si>
  <si>
    <t>单位支出收益</t>
  </si>
  <si>
    <t>耗时</t>
  </si>
  <si>
    <t>耗魔方</t>
  </si>
  <si>
    <t>彩图纸</t>
  </si>
  <si>
    <t>单位时间支出</t>
  </si>
  <si>
    <t>单位时间收益</t>
  </si>
  <si>
    <t>其他白嫖科研</t>
  </si>
  <si>
    <t>过滤概率</t>
  </si>
  <si>
    <t>收菜次数</t>
  </si>
  <si>
    <t>次/天</t>
  </si>
  <si>
    <t>模拟误差：</t>
  </si>
  <si>
    <t>使用刷新概率</t>
  </si>
  <si>
    <t>%</t>
  </si>
  <si>
    <t>过滤失败概率</t>
  </si>
  <si>
    <t>夜晚过滤失败概率：</t>
  </si>
  <si>
    <t>总过滤失败概率</t>
  </si>
  <si>
    <t>无该项概率</t>
  </si>
  <si>
    <t>每次过滤失败亏损</t>
  </si>
  <si>
    <t>金色装备</t>
  </si>
  <si>
    <t>优先</t>
  </si>
  <si>
    <t>过渡</t>
  </si>
  <si>
    <t>时间过滤</t>
  </si>
  <si>
    <t>是否可接夜间</t>
  </si>
  <si>
    <t>下个科研是否过滤安全</t>
  </si>
  <si>
    <t>安全空余时间</t>
  </si>
  <si>
    <t>期望性价比</t>
  </si>
  <si>
    <t>点击收益2</t>
  </si>
  <si>
    <t>投入期望3</t>
  </si>
  <si>
    <t>点击收益3</t>
  </si>
  <si>
    <t>实际点击收入</t>
  </si>
  <si>
    <t>全名</t>
  </si>
  <si>
    <t>刷出率</t>
  </si>
  <si>
    <t>其他期Q1</t>
  </si>
  <si>
    <t>23期舰装解析1h</t>
  </si>
  <si>
    <t>白天投入</t>
  </si>
  <si>
    <t>白天产出</t>
  </si>
  <si>
    <t>夜晚投入</t>
  </si>
  <si>
    <t>夜晚产出</t>
  </si>
  <si>
    <t>白天占比</t>
  </si>
  <si>
    <t>夜晚占比</t>
  </si>
  <si>
    <t>时间价值</t>
  </si>
  <si>
    <t>安全时间</t>
  </si>
  <si>
    <t>安全概率</t>
  </si>
</sst>
</file>

<file path=xl/styles.xml><?xml version="1.0" encoding="utf-8"?>
<styleSheet xmlns="http://schemas.openxmlformats.org/spreadsheetml/2006/main">
  <numFmts count="14">
    <numFmt numFmtId="176" formatCode="0.000_ "/>
    <numFmt numFmtId="177" formatCode="0.00_ "/>
    <numFmt numFmtId="41" formatCode="_ * #,##0_ ;_ * \-#,##0_ ;_ * &quot;-&quot;_ ;_ @_ "/>
    <numFmt numFmtId="42" formatCode="_ &quot;￥&quot;* #,##0_ ;_ &quot;￥&quot;* \-#,##0_ ;_ &quot;￥&quot;* &quot;-&quot;_ ;_ @_ "/>
    <numFmt numFmtId="178" formatCode="0.0000_ "/>
    <numFmt numFmtId="44" formatCode="_ &quot;￥&quot;* #,##0.00_ ;_ &quot;￥&quot;* \-#,##0.00_ ;_ &quot;￥&quot;* &quot;-&quot;??_ ;_ @_ "/>
    <numFmt numFmtId="43" formatCode="_ * #,##0.00_ ;_ * \-#,##0.00_ ;_ * &quot;-&quot;??_ ;_ @_ "/>
    <numFmt numFmtId="179" formatCode="0_ "/>
    <numFmt numFmtId="180" formatCode="0&quot;小&quot;&quot;时&quot;"/>
    <numFmt numFmtId="181" formatCode="h:mm:ss;@"/>
    <numFmt numFmtId="182" formatCode="0.00&quot;张&quot;"/>
    <numFmt numFmtId="183" formatCode="h:mm;@"/>
    <numFmt numFmtId="184" formatCode="0.0_ "/>
    <numFmt numFmtId="185" formatCode="0.0&quot;次&quot;"/>
  </numFmts>
  <fonts count="47">
    <font>
      <sz val="11"/>
      <color theme="1"/>
      <name val="宋体"/>
      <charset val="134"/>
      <scheme val="minor"/>
    </font>
    <font>
      <sz val="12"/>
      <name val="宋体"/>
      <charset val="134"/>
    </font>
    <font>
      <sz val="12"/>
      <color theme="1"/>
      <name val="宋体"/>
      <charset val="134"/>
      <scheme val="minor"/>
    </font>
    <font>
      <sz val="12"/>
      <color theme="1"/>
      <name val="宋体"/>
      <charset val="134"/>
    </font>
    <font>
      <sz val="13"/>
      <color theme="1"/>
      <name val="宋体"/>
      <charset val="134"/>
      <scheme val="minor"/>
    </font>
    <font>
      <b/>
      <sz val="14"/>
      <name val="宋体"/>
      <charset val="134"/>
    </font>
    <font>
      <u/>
      <sz val="11"/>
      <color rgb="FF800080"/>
      <name val="宋体"/>
      <charset val="0"/>
      <scheme val="minor"/>
    </font>
    <font>
      <sz val="11"/>
      <name val="宋体"/>
      <charset val="134"/>
    </font>
    <font>
      <u/>
      <sz val="11"/>
      <color rgb="FF800080"/>
      <name val="宋体"/>
      <charset val="134"/>
    </font>
    <font>
      <sz val="14"/>
      <color theme="1"/>
      <name val="宋体"/>
      <charset val="134"/>
      <scheme val="minor"/>
    </font>
    <font>
      <sz val="16"/>
      <name val="宋体"/>
      <charset val="134"/>
    </font>
    <font>
      <b/>
      <sz val="11"/>
      <color theme="1"/>
      <name val="宋体"/>
      <charset val="134"/>
      <scheme val="minor"/>
    </font>
    <font>
      <sz val="10"/>
      <color theme="1"/>
      <name val="宋体"/>
      <charset val="134"/>
      <scheme val="minor"/>
    </font>
    <font>
      <u/>
      <sz val="13"/>
      <color rgb="FF800080"/>
      <name val="宋体"/>
      <charset val="0"/>
      <scheme val="minor"/>
    </font>
    <font>
      <b/>
      <sz val="20"/>
      <name val="宋体"/>
      <charset val="134"/>
    </font>
    <font>
      <b/>
      <sz val="12"/>
      <color rgb="FFFF0000"/>
      <name val="宋体"/>
      <charset val="134"/>
    </font>
    <font>
      <sz val="31"/>
      <color theme="1"/>
      <name val="宋体"/>
      <charset val="134"/>
      <scheme val="minor"/>
    </font>
    <font>
      <sz val="14"/>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FF0000"/>
      <name val="宋体"/>
      <charset val="134"/>
    </font>
    <font>
      <b/>
      <sz val="11"/>
      <name val="宋体"/>
      <charset val="134"/>
    </font>
    <font>
      <sz val="14"/>
      <color rgb="FFFF0000"/>
      <name val="宋体"/>
      <charset val="134"/>
      <scheme val="minor"/>
    </font>
    <font>
      <b/>
      <sz val="14"/>
      <color rgb="FFFF0000"/>
      <name val="宋体"/>
      <charset val="134"/>
      <scheme val="minor"/>
    </font>
  </fonts>
  <fills count="51">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theme="0"/>
        <bgColor indexed="64"/>
      </patternFill>
    </fill>
    <fill>
      <patternFill patternType="solid">
        <fgColor rgb="FFFFF2CB"/>
        <bgColor indexed="64"/>
      </patternFill>
    </fill>
    <fill>
      <patternFill patternType="solid">
        <fgColor rgb="FFDEEAF6"/>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8"/>
        <bgColor indexed="64"/>
      </patternFill>
    </fill>
    <fill>
      <patternFill patternType="solid">
        <fgColor theme="0" tint="-0.15"/>
        <bgColor indexed="64"/>
      </patternFill>
    </fill>
    <fill>
      <patternFill patternType="solid">
        <fgColor rgb="FFFF7FFF"/>
        <bgColor indexed="64"/>
      </patternFill>
    </fill>
    <fill>
      <patternFill patternType="solid">
        <fgColor theme="4" tint="0.8"/>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0"/>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s>
  <borders count="8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top style="medium">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top/>
      <bottom style="thin">
        <color auto="1"/>
      </bottom>
      <diagonal/>
    </border>
    <border>
      <left style="thin">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medium">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25" borderId="0" applyNumberFormat="0" applyBorder="0" applyAlignment="0" applyProtection="0">
      <alignment vertical="center"/>
    </xf>
    <xf numFmtId="0" fontId="28" fillId="27" borderId="7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28" borderId="0" applyNumberFormat="0" applyBorder="0" applyAlignment="0" applyProtection="0">
      <alignment vertical="center"/>
    </xf>
    <xf numFmtId="0" fontId="29" fillId="29" borderId="0" applyNumberFormat="0" applyBorder="0" applyAlignment="0" applyProtection="0">
      <alignment vertical="center"/>
    </xf>
    <xf numFmtId="43" fontId="0" fillId="0" borderId="0" applyFont="0" applyFill="0" applyBorder="0" applyAlignment="0" applyProtection="0">
      <alignment vertical="center"/>
    </xf>
    <xf numFmtId="0" fontId="27" fillId="32"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33" borderId="79" applyNumberFormat="0" applyFont="0" applyAlignment="0" applyProtection="0">
      <alignment vertical="center"/>
    </xf>
    <xf numFmtId="0" fontId="27" fillId="36"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81" applyNumberFormat="0" applyFill="0" applyAlignment="0" applyProtection="0">
      <alignment vertical="center"/>
    </xf>
    <xf numFmtId="0" fontId="37" fillId="0" borderId="81" applyNumberFormat="0" applyFill="0" applyAlignment="0" applyProtection="0">
      <alignment vertical="center"/>
    </xf>
    <xf numFmtId="0" fontId="27" fillId="13" borderId="0" applyNumberFormat="0" applyBorder="0" applyAlignment="0" applyProtection="0">
      <alignment vertical="center"/>
    </xf>
    <xf numFmtId="0" fontId="26" fillId="0" borderId="77" applyNumberFormat="0" applyFill="0" applyAlignment="0" applyProtection="0">
      <alignment vertical="center"/>
    </xf>
    <xf numFmtId="0" fontId="27" fillId="41" borderId="0" applyNumberFormat="0" applyBorder="0" applyAlignment="0" applyProtection="0">
      <alignment vertical="center"/>
    </xf>
    <xf numFmtId="0" fontId="38" fillId="42" borderId="82" applyNumberFormat="0" applyAlignment="0" applyProtection="0">
      <alignment vertical="center"/>
    </xf>
    <xf numFmtId="0" fontId="40" fillId="42" borderId="78" applyNumberFormat="0" applyAlignment="0" applyProtection="0">
      <alignment vertical="center"/>
    </xf>
    <xf numFmtId="0" fontId="32" fillId="37" borderId="80" applyNumberFormat="0" applyAlignment="0" applyProtection="0">
      <alignment vertical="center"/>
    </xf>
    <xf numFmtId="0" fontId="25" fillId="43" borderId="0" applyNumberFormat="0" applyBorder="0" applyAlignment="0" applyProtection="0">
      <alignment vertical="center"/>
    </xf>
    <xf numFmtId="0" fontId="27" fillId="45" borderId="0" applyNumberFormat="0" applyBorder="0" applyAlignment="0" applyProtection="0">
      <alignment vertical="center"/>
    </xf>
    <xf numFmtId="0" fontId="39" fillId="0" borderId="83" applyNumberFormat="0" applyFill="0" applyAlignment="0" applyProtection="0">
      <alignment vertical="center"/>
    </xf>
    <xf numFmtId="0" fontId="42" fillId="0" borderId="84" applyNumberFormat="0" applyFill="0" applyAlignment="0" applyProtection="0">
      <alignment vertical="center"/>
    </xf>
    <xf numFmtId="0" fontId="35" fillId="38" borderId="0" applyNumberFormat="0" applyBorder="0" applyAlignment="0" applyProtection="0">
      <alignment vertical="center"/>
    </xf>
    <xf numFmtId="0" fontId="41" fillId="44" borderId="0" applyNumberFormat="0" applyBorder="0" applyAlignment="0" applyProtection="0">
      <alignment vertical="center"/>
    </xf>
    <xf numFmtId="0" fontId="25" fillId="40" borderId="0" applyNumberFormat="0" applyBorder="0" applyAlignment="0" applyProtection="0">
      <alignment vertical="center"/>
    </xf>
    <xf numFmtId="0" fontId="27" fillId="26" borderId="0" applyNumberFormat="0" applyBorder="0" applyAlignment="0" applyProtection="0">
      <alignment vertical="center"/>
    </xf>
    <xf numFmtId="0" fontId="25" fillId="20" borderId="0" applyNumberFormat="0" applyBorder="0" applyAlignment="0" applyProtection="0">
      <alignment vertical="center"/>
    </xf>
    <xf numFmtId="0" fontId="25" fillId="46" borderId="0" applyNumberFormat="0" applyBorder="0" applyAlignment="0" applyProtection="0">
      <alignment vertical="center"/>
    </xf>
    <xf numFmtId="0" fontId="25" fillId="35" borderId="0" applyNumberFormat="0" applyBorder="0" applyAlignment="0" applyProtection="0">
      <alignment vertical="center"/>
    </xf>
    <xf numFmtId="0" fontId="25" fillId="39" borderId="0" applyNumberFormat="0" applyBorder="0" applyAlignment="0" applyProtection="0">
      <alignment vertical="center"/>
    </xf>
    <xf numFmtId="0" fontId="27" fillId="50" borderId="0" applyNumberFormat="0" applyBorder="0" applyAlignment="0" applyProtection="0">
      <alignment vertical="center"/>
    </xf>
    <xf numFmtId="0" fontId="27" fillId="49" borderId="0" applyNumberFormat="0" applyBorder="0" applyAlignment="0" applyProtection="0">
      <alignment vertical="center"/>
    </xf>
    <xf numFmtId="0" fontId="25" fillId="14" borderId="0" applyNumberFormat="0" applyBorder="0" applyAlignment="0" applyProtection="0">
      <alignment vertical="center"/>
    </xf>
    <xf numFmtId="0" fontId="25" fillId="31" borderId="0" applyNumberFormat="0" applyBorder="0" applyAlignment="0" applyProtection="0">
      <alignment vertical="center"/>
    </xf>
    <xf numFmtId="0" fontId="27" fillId="48" borderId="0" applyNumberFormat="0" applyBorder="0" applyAlignment="0" applyProtection="0">
      <alignment vertical="center"/>
    </xf>
    <xf numFmtId="0" fontId="25" fillId="24" borderId="0" applyNumberFormat="0" applyBorder="0" applyAlignment="0" applyProtection="0">
      <alignment vertical="center"/>
    </xf>
    <xf numFmtId="0" fontId="27" fillId="12" borderId="0" applyNumberFormat="0" applyBorder="0" applyAlignment="0" applyProtection="0">
      <alignment vertical="center"/>
    </xf>
    <xf numFmtId="0" fontId="27" fillId="47" borderId="0" applyNumberFormat="0" applyBorder="0" applyAlignment="0" applyProtection="0">
      <alignment vertical="center"/>
    </xf>
    <xf numFmtId="0" fontId="25" fillId="34" borderId="0" applyNumberFormat="0" applyBorder="0" applyAlignment="0" applyProtection="0">
      <alignment vertical="center"/>
    </xf>
    <xf numFmtId="0" fontId="27" fillId="30" borderId="0" applyNumberFormat="0" applyBorder="0" applyAlignment="0" applyProtection="0">
      <alignment vertical="center"/>
    </xf>
  </cellStyleXfs>
  <cellXfs count="653">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1" xfId="0" applyBorder="1">
      <alignment vertical="center"/>
    </xf>
    <xf numFmtId="0" fontId="0" fillId="0" borderId="11" xfId="0" applyBorder="1">
      <alignment vertical="center"/>
    </xf>
    <xf numFmtId="0" fontId="1" fillId="5" borderId="12" xfId="0" applyFont="1" applyFill="1" applyBorder="1" applyAlignment="1">
      <alignment vertical="center"/>
    </xf>
    <xf numFmtId="0" fontId="0" fillId="0" borderId="13" xfId="0" applyBorder="1">
      <alignment vertical="center"/>
    </xf>
    <xf numFmtId="0" fontId="0" fillId="0" borderId="14" xfId="0" applyBorder="1">
      <alignment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0" fillId="0" borderId="14" xfId="0" applyFill="1" applyBorder="1">
      <alignment vertical="center"/>
    </xf>
    <xf numFmtId="0" fontId="1" fillId="0" borderId="8" xfId="0" applyFont="1" applyFill="1" applyBorder="1" applyAlignment="1">
      <alignment vertical="center"/>
    </xf>
    <xf numFmtId="0" fontId="1" fillId="0" borderId="8" xfId="0" applyFont="1" applyFill="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 fillId="3" borderId="4" xfId="0" applyFont="1" applyFill="1" applyBorder="1" applyAlignment="1">
      <alignment horizontal="center" vertical="center"/>
    </xf>
    <xf numFmtId="0" fontId="0" fillId="0" borderId="19" xfId="0" applyBorder="1">
      <alignment vertical="center"/>
    </xf>
    <xf numFmtId="0" fontId="0" fillId="0" borderId="20" xfId="0" applyBorder="1">
      <alignment vertical="center"/>
    </xf>
    <xf numFmtId="0" fontId="1" fillId="5" borderId="4" xfId="0" applyFont="1" applyFill="1" applyBorder="1" applyAlignment="1">
      <alignment horizontal="left" vertical="center"/>
    </xf>
    <xf numFmtId="0" fontId="0" fillId="0" borderId="3" xfId="0" applyBorder="1">
      <alignment vertical="center"/>
    </xf>
    <xf numFmtId="0" fontId="0" fillId="0" borderId="13" xfId="0" applyBorder="1" applyAlignment="1">
      <alignment horizontal="centerContinuous" vertical="center"/>
    </xf>
    <xf numFmtId="0" fontId="0" fillId="0" borderId="17" xfId="0" applyBorder="1" applyAlignment="1">
      <alignment horizontal="centerContinuous" vertical="center"/>
    </xf>
    <xf numFmtId="0" fontId="0" fillId="0" borderId="16" xfId="0" applyBorder="1" applyAlignment="1">
      <alignment vertical="center"/>
    </xf>
    <xf numFmtId="0" fontId="1" fillId="2" borderId="11" xfId="0" applyFont="1" applyFill="1" applyBorder="1" applyAlignment="1">
      <alignment horizontal="center" vertical="center"/>
    </xf>
    <xf numFmtId="0" fontId="0" fillId="0" borderId="15" xfId="0" applyBorder="1" applyAlignment="1">
      <alignment horizontal="centerContinuous" vertical="center"/>
    </xf>
    <xf numFmtId="0" fontId="0" fillId="0" borderId="20" xfId="0" applyBorder="1" applyAlignment="1">
      <alignment horizontal="centerContinuous" vertical="center"/>
    </xf>
    <xf numFmtId="0" fontId="0" fillId="0" borderId="19" xfId="0" applyBorder="1" applyAlignment="1">
      <alignment vertical="center"/>
    </xf>
    <xf numFmtId="0" fontId="1" fillId="3" borderId="2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177" fontId="1" fillId="8" borderId="24" xfId="0" applyNumberFormat="1" applyFont="1" applyFill="1" applyBorder="1" applyAlignment="1">
      <alignment horizontal="left" vertical="center"/>
    </xf>
    <xf numFmtId="177" fontId="1" fillId="8" borderId="18" xfId="0" applyNumberFormat="1" applyFont="1" applyFill="1" applyBorder="1" applyAlignment="1">
      <alignment horizontal="left" vertical="center"/>
    </xf>
    <xf numFmtId="176" fontId="1" fillId="8" borderId="25" xfId="0" applyNumberFormat="1" applyFont="1" applyFill="1" applyBorder="1" applyAlignment="1">
      <alignment horizontal="left" vertical="center"/>
    </xf>
    <xf numFmtId="177" fontId="1" fillId="8" borderId="26" xfId="0" applyNumberFormat="1" applyFont="1" applyFill="1" applyBorder="1" applyAlignment="1">
      <alignment horizontal="left" vertical="center"/>
    </xf>
    <xf numFmtId="177" fontId="1" fillId="8" borderId="27" xfId="0" applyNumberFormat="1" applyFont="1" applyFill="1" applyBorder="1" applyAlignment="1">
      <alignment horizontal="left" vertical="center"/>
    </xf>
    <xf numFmtId="176" fontId="1" fillId="8" borderId="28" xfId="0" applyNumberFormat="1" applyFont="1" applyFill="1" applyBorder="1" applyAlignment="1">
      <alignment horizontal="left" vertical="center"/>
    </xf>
    <xf numFmtId="177" fontId="1" fillId="8" borderId="29" xfId="0" applyNumberFormat="1" applyFont="1" applyFill="1" applyBorder="1" applyAlignment="1">
      <alignment horizontal="left" vertical="center"/>
    </xf>
    <xf numFmtId="177" fontId="1" fillId="8" borderId="28" xfId="0" applyNumberFormat="1" applyFont="1" applyFill="1" applyBorder="1" applyAlignment="1">
      <alignment horizontal="left" vertical="center"/>
    </xf>
    <xf numFmtId="176" fontId="1" fillId="8" borderId="30" xfId="0" applyNumberFormat="1" applyFont="1" applyFill="1" applyBorder="1" applyAlignment="1">
      <alignment horizontal="left" vertical="center"/>
    </xf>
    <xf numFmtId="177" fontId="1" fillId="8" borderId="31" xfId="0" applyNumberFormat="1" applyFont="1" applyFill="1" applyBorder="1" applyAlignment="1">
      <alignment horizontal="left" vertical="center"/>
    </xf>
    <xf numFmtId="177" fontId="1" fillId="8" borderId="17" xfId="0" applyNumberFormat="1" applyFont="1" applyFill="1" applyBorder="1" applyAlignment="1">
      <alignment horizontal="left" vertical="center"/>
    </xf>
    <xf numFmtId="176" fontId="1" fillId="8" borderId="5" xfId="0" applyNumberFormat="1" applyFont="1" applyFill="1" applyBorder="1" applyAlignment="1">
      <alignment horizontal="left" vertical="center"/>
    </xf>
    <xf numFmtId="176" fontId="1" fillId="8" borderId="6" xfId="0" applyNumberFormat="1" applyFont="1" applyFill="1" applyBorder="1" applyAlignment="1">
      <alignment horizontal="left" vertical="center"/>
    </xf>
    <xf numFmtId="177" fontId="1" fillId="8" borderId="32" xfId="0" applyNumberFormat="1" applyFont="1" applyFill="1" applyBorder="1" applyAlignment="1">
      <alignment horizontal="left" vertical="center"/>
    </xf>
    <xf numFmtId="177" fontId="1" fillId="8" borderId="30" xfId="0" applyNumberFormat="1" applyFont="1" applyFill="1" applyBorder="1" applyAlignment="1">
      <alignment horizontal="left" vertical="center"/>
    </xf>
    <xf numFmtId="176" fontId="1" fillId="8" borderId="8" xfId="0" applyNumberFormat="1" applyFont="1" applyFill="1" applyBorder="1" applyAlignment="1">
      <alignment horizontal="left" vertical="center"/>
    </xf>
    <xf numFmtId="177" fontId="1" fillId="8" borderId="33" xfId="0" applyNumberFormat="1" applyFont="1" applyFill="1" applyBorder="1" applyAlignment="1">
      <alignment horizontal="left" vertical="center"/>
    </xf>
    <xf numFmtId="177" fontId="1" fillId="8" borderId="25" xfId="0" applyNumberFormat="1" applyFont="1" applyFill="1" applyBorder="1" applyAlignment="1">
      <alignment horizontal="left" vertical="center"/>
    </xf>
    <xf numFmtId="176" fontId="1" fillId="8" borderId="27" xfId="0" applyNumberFormat="1" applyFont="1" applyFill="1" applyBorder="1" applyAlignment="1">
      <alignment horizontal="left" vertical="center"/>
    </xf>
    <xf numFmtId="176" fontId="1" fillId="8" borderId="34" xfId="0" applyNumberFormat="1" applyFont="1" applyFill="1" applyBorder="1" applyAlignment="1">
      <alignment horizontal="left" vertical="center"/>
    </xf>
    <xf numFmtId="177" fontId="1" fillId="8" borderId="21" xfId="0" applyNumberFormat="1" applyFont="1" applyFill="1" applyBorder="1" applyAlignment="1">
      <alignment horizontal="left" vertical="center"/>
    </xf>
    <xf numFmtId="177" fontId="1" fillId="8" borderId="20" xfId="0" applyNumberFormat="1" applyFont="1" applyFill="1" applyBorder="1" applyAlignment="1">
      <alignment horizontal="left" vertical="center"/>
    </xf>
    <xf numFmtId="177" fontId="1" fillId="8" borderId="35" xfId="0" applyNumberFormat="1" applyFont="1" applyFill="1" applyBorder="1" applyAlignment="1">
      <alignment horizontal="left" vertical="center"/>
    </xf>
    <xf numFmtId="177" fontId="1" fillId="8" borderId="34" xfId="0" applyNumberFormat="1" applyFont="1" applyFill="1" applyBorder="1" applyAlignment="1">
      <alignment horizontal="left" vertical="center"/>
    </xf>
    <xf numFmtId="176" fontId="1" fillId="8" borderId="17" xfId="0" applyNumberFormat="1" applyFont="1" applyFill="1" applyBorder="1" applyAlignment="1">
      <alignment horizontal="left" vertical="center"/>
    </xf>
    <xf numFmtId="0" fontId="0" fillId="0" borderId="2" xfId="0" applyBorder="1">
      <alignment vertical="center"/>
    </xf>
    <xf numFmtId="0" fontId="0" fillId="0" borderId="1"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1" xfId="0" applyBorder="1" applyAlignment="1">
      <alignment horizontal="centerContinuous" vertical="center"/>
    </xf>
    <xf numFmtId="0" fontId="0" fillId="0" borderId="11" xfId="0" applyBorder="1" applyAlignment="1">
      <alignment horizontal="centerContinuous" vertical="center"/>
    </xf>
    <xf numFmtId="0" fontId="1" fillId="3" borderId="15" xfId="0" applyFont="1" applyFill="1" applyBorder="1" applyAlignment="1">
      <alignment horizontal="center" vertical="center"/>
    </xf>
    <xf numFmtId="0" fontId="1" fillId="7" borderId="36" xfId="0" applyFont="1" applyFill="1" applyBorder="1" applyAlignment="1">
      <alignment horizontal="center" vertical="center"/>
    </xf>
    <xf numFmtId="0" fontId="1" fillId="7"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7" xfId="0" applyFont="1" applyFill="1" applyBorder="1" applyAlignment="1">
      <alignment horizontal="center" vertical="center"/>
    </xf>
    <xf numFmtId="0" fontId="0" fillId="0" borderId="38" xfId="0" applyBorder="1">
      <alignment vertical="center"/>
    </xf>
    <xf numFmtId="179" fontId="1" fillId="0" borderId="33" xfId="0" applyNumberFormat="1" applyFont="1" applyFill="1" applyBorder="1" applyAlignment="1">
      <alignment horizontal="left" vertical="center"/>
    </xf>
    <xf numFmtId="179" fontId="1" fillId="0" borderId="39" xfId="0" applyNumberFormat="1" applyFont="1" applyFill="1" applyBorder="1" applyAlignment="1">
      <alignment horizontal="left" vertical="center"/>
    </xf>
    <xf numFmtId="0" fontId="0" fillId="0" borderId="4" xfId="0" applyBorder="1">
      <alignment vertical="center"/>
    </xf>
    <xf numFmtId="0" fontId="0" fillId="0" borderId="0" xfId="0" applyFill="1">
      <alignment vertical="center"/>
    </xf>
    <xf numFmtId="0" fontId="0" fillId="0" borderId="1" xfId="0" applyFill="1" applyBorder="1">
      <alignment vertical="center"/>
    </xf>
    <xf numFmtId="0" fontId="0" fillId="0" borderId="0" xfId="0" applyAlignment="1">
      <alignment horizontal="center" vertical="center"/>
    </xf>
    <xf numFmtId="177" fontId="0" fillId="0" borderId="0" xfId="0" applyNumberFormat="1">
      <alignment vertical="center"/>
    </xf>
    <xf numFmtId="0" fontId="0" fillId="0" borderId="0" xfId="0" applyBorder="1">
      <alignment vertical="center"/>
    </xf>
    <xf numFmtId="0" fontId="0" fillId="0" borderId="7" xfId="0" applyBorder="1">
      <alignment vertical="center"/>
    </xf>
    <xf numFmtId="0" fontId="0" fillId="0" borderId="12" xfId="0" applyBorder="1">
      <alignment vertical="center"/>
    </xf>
    <xf numFmtId="179" fontId="1" fillId="9" borderId="33" xfId="0" applyNumberFormat="1" applyFont="1" applyFill="1" applyBorder="1" applyAlignment="1">
      <alignment horizontal="left" vertical="center"/>
    </xf>
    <xf numFmtId="179" fontId="1" fillId="9" borderId="29" xfId="0" applyNumberFormat="1" applyFont="1" applyFill="1" applyBorder="1" applyAlignment="1">
      <alignment horizontal="left" vertical="center"/>
    </xf>
    <xf numFmtId="179" fontId="1" fillId="9" borderId="26" xfId="0" applyNumberFormat="1" applyFont="1" applyFill="1" applyBorder="1" applyAlignment="1">
      <alignment horizontal="left" vertical="center"/>
    </xf>
    <xf numFmtId="0" fontId="0" fillId="0" borderId="40" xfId="0" applyBorder="1">
      <alignment vertical="center"/>
    </xf>
    <xf numFmtId="179" fontId="1" fillId="9" borderId="35" xfId="0" applyNumberFormat="1" applyFont="1" applyFill="1" applyBorder="1" applyAlignment="1">
      <alignment horizontal="left" vertical="center"/>
    </xf>
    <xf numFmtId="0" fontId="0" fillId="0" borderId="36" xfId="0" applyBorder="1">
      <alignment vertical="center"/>
    </xf>
    <xf numFmtId="179" fontId="1" fillId="9" borderId="32" xfId="0" applyNumberFormat="1" applyFont="1" applyFill="1" applyBorder="1" applyAlignment="1">
      <alignment horizontal="left" vertical="center"/>
    </xf>
    <xf numFmtId="179" fontId="1" fillId="9" borderId="21" xfId="0" applyNumberFormat="1" applyFont="1" applyFill="1" applyBorder="1" applyAlignment="1">
      <alignment horizontal="left" vertical="center"/>
    </xf>
    <xf numFmtId="0" fontId="0" fillId="0" borderId="0" xfId="0" applyAlignment="1">
      <alignment horizontal="centerContinuous" vertical="center"/>
    </xf>
    <xf numFmtId="0" fontId="1" fillId="5" borderId="37" xfId="0" applyFont="1" applyFill="1" applyBorder="1" applyAlignment="1">
      <alignment horizontal="center" vertical="center"/>
    </xf>
    <xf numFmtId="179" fontId="1" fillId="10" borderId="39" xfId="0" applyNumberFormat="1" applyFont="1" applyFill="1" applyBorder="1" applyAlignment="1">
      <alignment horizontal="left" vertical="center"/>
    </xf>
    <xf numFmtId="179" fontId="1" fillId="10" borderId="41" xfId="0" applyNumberFormat="1" applyFont="1" applyFill="1" applyBorder="1" applyAlignment="1">
      <alignment horizontal="left" vertical="center"/>
    </xf>
    <xf numFmtId="179" fontId="1" fillId="10" borderId="42" xfId="0" applyNumberFormat="1" applyFont="1" applyFill="1" applyBorder="1" applyAlignment="1">
      <alignment horizontal="left" vertical="center"/>
    </xf>
    <xf numFmtId="179" fontId="1" fillId="10" borderId="43" xfId="0" applyNumberFormat="1" applyFont="1" applyFill="1" applyBorder="1" applyAlignment="1">
      <alignment horizontal="left" vertical="center"/>
    </xf>
    <xf numFmtId="179" fontId="1" fillId="10" borderId="44" xfId="0" applyNumberFormat="1" applyFont="1" applyFill="1" applyBorder="1" applyAlignment="1">
      <alignment horizontal="left" vertical="center"/>
    </xf>
    <xf numFmtId="179" fontId="1" fillId="10" borderId="37" xfId="0" applyNumberFormat="1" applyFont="1" applyFill="1" applyBorder="1" applyAlignment="1">
      <alignment horizontal="left" vertical="center"/>
    </xf>
    <xf numFmtId="0" fontId="0" fillId="0" borderId="2" xfId="0" applyBorder="1" applyAlignment="1">
      <alignment horizontal="centerContinuous" vertical="center"/>
    </xf>
    <xf numFmtId="10" fontId="0" fillId="0" borderId="0" xfId="0" applyNumberFormat="1">
      <alignment vertical="center"/>
    </xf>
    <xf numFmtId="0" fontId="1" fillId="2" borderId="13" xfId="0" applyFont="1" applyFill="1" applyBorder="1" applyAlignment="1">
      <alignment horizontal="center" vertical="center"/>
    </xf>
    <xf numFmtId="0" fontId="1" fillId="5" borderId="45" xfId="0" applyFont="1" applyFill="1" applyBorder="1" applyAlignment="1">
      <alignment horizontal="left" vertical="center"/>
    </xf>
    <xf numFmtId="0" fontId="1" fillId="11" borderId="45" xfId="0" applyFont="1" applyFill="1" applyBorder="1" applyAlignment="1">
      <alignment horizontal="left" vertical="center"/>
    </xf>
    <xf numFmtId="0" fontId="1" fillId="6" borderId="46" xfId="0" applyFont="1" applyFill="1" applyBorder="1" applyAlignment="1">
      <alignment horizontal="left" vertical="center"/>
    </xf>
    <xf numFmtId="0" fontId="1" fillId="11" borderId="46" xfId="0" applyFont="1" applyFill="1" applyBorder="1" applyAlignment="1">
      <alignment horizontal="left" vertical="center"/>
    </xf>
    <xf numFmtId="0" fontId="1" fillId="2" borderId="46" xfId="0" applyFont="1" applyFill="1" applyBorder="1" applyAlignment="1">
      <alignment horizontal="left" vertical="center"/>
    </xf>
    <xf numFmtId="0" fontId="1" fillId="2" borderId="47" xfId="0" applyFont="1" applyFill="1" applyBorder="1" applyAlignment="1">
      <alignment horizontal="left" vertical="center"/>
    </xf>
    <xf numFmtId="0" fontId="1" fillId="11" borderId="47" xfId="0" applyFont="1" applyFill="1" applyBorder="1" applyAlignment="1">
      <alignment horizontal="left" vertical="center"/>
    </xf>
    <xf numFmtId="0" fontId="1" fillId="11" borderId="48" xfId="0" applyFont="1" applyFill="1" applyBorder="1" applyAlignment="1">
      <alignment horizontal="left" vertical="center"/>
    </xf>
    <xf numFmtId="0" fontId="1" fillId="11" borderId="14" xfId="0" applyFont="1" applyFill="1" applyBorder="1" applyAlignment="1">
      <alignment horizontal="left" vertical="center"/>
    </xf>
    <xf numFmtId="0" fontId="1" fillId="11" borderId="5" xfId="0" applyFont="1" applyFill="1" applyBorder="1" applyAlignment="1">
      <alignment horizontal="left" vertical="center"/>
    </xf>
    <xf numFmtId="0" fontId="1" fillId="11" borderId="9" xfId="0" applyFont="1" applyFill="1" applyBorder="1" applyAlignment="1">
      <alignment horizontal="left" vertical="center"/>
    </xf>
    <xf numFmtId="0" fontId="1" fillId="11" borderId="7" xfId="0" applyFont="1" applyFill="1" applyBorder="1" applyAlignment="1">
      <alignment horizontal="left" vertical="center"/>
    </xf>
    <xf numFmtId="0" fontId="1" fillId="11" borderId="12" xfId="0" applyFont="1" applyFill="1" applyBorder="1" applyAlignment="1">
      <alignment horizontal="left" vertical="center"/>
    </xf>
    <xf numFmtId="0" fontId="1" fillId="11" borderId="3" xfId="0" applyFont="1" applyFill="1" applyBorder="1" applyAlignment="1">
      <alignment horizontal="left" vertical="center"/>
    </xf>
    <xf numFmtId="22" fontId="0" fillId="0" borderId="0" xfId="0" applyNumberFormat="1">
      <alignment vertical="center"/>
    </xf>
    <xf numFmtId="181" fontId="0" fillId="0" borderId="0" xfId="0" applyNumberFormat="1">
      <alignment vertical="center"/>
    </xf>
    <xf numFmtId="0" fontId="1" fillId="1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3" borderId="12" xfId="0" applyFont="1" applyFill="1" applyBorder="1" applyAlignment="1">
      <alignment horizontal="center" vertical="center"/>
    </xf>
    <xf numFmtId="0" fontId="1" fillId="5" borderId="23" xfId="0" applyFont="1" applyFill="1" applyBorder="1" applyAlignment="1">
      <alignment horizontal="center" vertical="center"/>
    </xf>
    <xf numFmtId="0" fontId="1" fillId="3" borderId="22" xfId="0" applyFont="1" applyFill="1" applyBorder="1" applyAlignment="1">
      <alignment horizontal="center" vertical="center"/>
    </xf>
    <xf numFmtId="0" fontId="1" fillId="7" borderId="19" xfId="0" applyFont="1" applyFill="1" applyBorder="1" applyAlignment="1">
      <alignment horizontal="center" vertical="center"/>
    </xf>
    <xf numFmtId="178" fontId="1" fillId="10" borderId="49" xfId="0" applyNumberFormat="1" applyFont="1" applyFill="1" applyBorder="1" applyAlignment="1">
      <alignment horizontal="left" vertical="center"/>
    </xf>
    <xf numFmtId="178" fontId="1" fillId="10" borderId="5" xfId="0" applyNumberFormat="1" applyFont="1" applyFill="1" applyBorder="1" applyAlignment="1">
      <alignment horizontal="left" vertical="center"/>
    </xf>
    <xf numFmtId="177" fontId="1" fillId="8" borderId="0" xfId="0" applyNumberFormat="1" applyFont="1" applyFill="1" applyBorder="1" applyAlignment="1">
      <alignment horizontal="left" vertical="center"/>
    </xf>
    <xf numFmtId="0" fontId="2" fillId="0" borderId="50" xfId="0" applyFont="1" applyBorder="1" applyAlignment="1">
      <alignment horizontal="left" vertical="center"/>
    </xf>
    <xf numFmtId="0" fontId="1" fillId="11" borderId="6" xfId="0" applyFont="1" applyFill="1" applyBorder="1" applyAlignment="1">
      <alignment horizontal="left" vertical="center"/>
    </xf>
    <xf numFmtId="178" fontId="1" fillId="10" borderId="51" xfId="0" applyNumberFormat="1" applyFont="1" applyFill="1" applyBorder="1" applyAlignment="1">
      <alignment horizontal="left" vertical="center"/>
    </xf>
    <xf numFmtId="178" fontId="1" fillId="10" borderId="6" xfId="0" applyNumberFormat="1" applyFont="1" applyFill="1" applyBorder="1" applyAlignment="1">
      <alignment horizontal="left" vertical="center"/>
    </xf>
    <xf numFmtId="177" fontId="1" fillId="8" borderId="52" xfId="0" applyNumberFormat="1" applyFont="1" applyFill="1" applyBorder="1" applyAlignment="1">
      <alignment horizontal="left" vertical="center"/>
    </xf>
    <xf numFmtId="0" fontId="2" fillId="0" borderId="53" xfId="0" applyFont="1" applyBorder="1" applyAlignment="1">
      <alignment horizontal="left" vertical="center"/>
    </xf>
    <xf numFmtId="177" fontId="1" fillId="8" borderId="51" xfId="0" applyNumberFormat="1" applyFont="1" applyFill="1" applyBorder="1" applyAlignment="1">
      <alignment horizontal="left" vertical="center"/>
    </xf>
    <xf numFmtId="0" fontId="1" fillId="11" borderId="8" xfId="0" applyFont="1" applyFill="1" applyBorder="1" applyAlignment="1">
      <alignment horizontal="left" vertical="center"/>
    </xf>
    <xf numFmtId="178" fontId="1" fillId="10" borderId="54" xfId="0" applyNumberFormat="1" applyFont="1" applyFill="1" applyBorder="1" applyAlignment="1">
      <alignment horizontal="left" vertical="center"/>
    </xf>
    <xf numFmtId="178" fontId="1" fillId="10" borderId="9" xfId="0" applyNumberFormat="1" applyFont="1" applyFill="1" applyBorder="1" applyAlignment="1">
      <alignment horizontal="left" vertical="center"/>
    </xf>
    <xf numFmtId="178" fontId="1" fillId="10" borderId="55" xfId="0" applyNumberFormat="1" applyFont="1" applyFill="1" applyBorder="1" applyAlignment="1">
      <alignment horizontal="left" vertical="center"/>
    </xf>
    <xf numFmtId="177" fontId="1" fillId="8" borderId="16" xfId="0" applyNumberFormat="1" applyFont="1" applyFill="1" applyBorder="1" applyAlignment="1">
      <alignment horizontal="left" vertical="center"/>
    </xf>
    <xf numFmtId="177" fontId="1" fillId="8" borderId="56" xfId="0" applyNumberFormat="1" applyFont="1" applyFill="1" applyBorder="1" applyAlignment="1">
      <alignment horizontal="left" vertical="center"/>
    </xf>
    <xf numFmtId="177" fontId="1" fillId="8" borderId="41" xfId="0" applyNumberFormat="1" applyFont="1" applyFill="1" applyBorder="1" applyAlignment="1">
      <alignment horizontal="left" vertical="center"/>
    </xf>
    <xf numFmtId="177" fontId="1" fillId="8" borderId="50" xfId="0" applyNumberFormat="1" applyFont="1" applyFill="1" applyBorder="1" applyAlignment="1">
      <alignment horizontal="left" vertical="center"/>
    </xf>
    <xf numFmtId="178" fontId="1" fillId="10" borderId="52" xfId="0" applyNumberFormat="1" applyFont="1" applyFill="1" applyBorder="1" applyAlignment="1">
      <alignment horizontal="left" vertical="center"/>
    </xf>
    <xf numFmtId="177" fontId="1" fillId="8" borderId="54" xfId="0" applyNumberFormat="1" applyFont="1" applyFill="1" applyBorder="1" applyAlignment="1">
      <alignment horizontal="left" vertical="center"/>
    </xf>
    <xf numFmtId="177" fontId="1" fillId="8" borderId="44" xfId="0" applyNumberFormat="1" applyFont="1" applyFill="1" applyBorder="1" applyAlignment="1">
      <alignment horizontal="left" vertical="center"/>
    </xf>
    <xf numFmtId="177" fontId="1" fillId="8" borderId="55" xfId="0" applyNumberFormat="1" applyFont="1" applyFill="1" applyBorder="1" applyAlignment="1">
      <alignment horizontal="left" vertical="center"/>
    </xf>
    <xf numFmtId="177" fontId="1" fillId="8" borderId="39" xfId="0" applyNumberFormat="1" applyFont="1" applyFill="1" applyBorder="1" applyAlignment="1">
      <alignment horizontal="left" vertical="center"/>
    </xf>
    <xf numFmtId="177" fontId="1" fillId="8" borderId="42" xfId="0" applyNumberFormat="1" applyFont="1" applyFill="1" applyBorder="1" applyAlignment="1">
      <alignment horizontal="left" vertical="center"/>
    </xf>
    <xf numFmtId="177" fontId="1" fillId="8" borderId="19" xfId="0" applyNumberFormat="1" applyFont="1" applyFill="1" applyBorder="1" applyAlignment="1">
      <alignment horizontal="left" vertical="center"/>
    </xf>
    <xf numFmtId="177" fontId="1" fillId="8" borderId="37" xfId="0" applyNumberFormat="1" applyFont="1" applyFill="1" applyBorder="1" applyAlignment="1">
      <alignment horizontal="left" vertical="center"/>
    </xf>
    <xf numFmtId="177" fontId="1" fillId="8" borderId="49" xfId="0" applyNumberFormat="1" applyFont="1" applyFill="1" applyBorder="1" applyAlignment="1">
      <alignment horizontal="left" vertical="center"/>
    </xf>
    <xf numFmtId="177" fontId="1" fillId="8" borderId="43" xfId="0" applyNumberFormat="1" applyFont="1" applyFill="1" applyBorder="1" applyAlignment="1">
      <alignment horizontal="left" vertical="center"/>
    </xf>
    <xf numFmtId="178" fontId="1" fillId="10" borderId="12" xfId="0" applyNumberFormat="1" applyFont="1" applyFill="1" applyBorder="1" applyAlignment="1">
      <alignment horizontal="left" vertical="center"/>
    </xf>
    <xf numFmtId="178" fontId="1" fillId="10" borderId="1" xfId="0" applyNumberFormat="1" applyFont="1" applyFill="1" applyBorder="1" applyAlignment="1">
      <alignment horizontal="left" vertical="center"/>
    </xf>
    <xf numFmtId="178" fontId="1" fillId="10" borderId="3" xfId="0" applyNumberFormat="1" applyFont="1" applyFill="1" applyBorder="1" applyAlignment="1">
      <alignment horizontal="left" vertical="center"/>
    </xf>
    <xf numFmtId="179" fontId="1" fillId="9" borderId="57" xfId="0" applyNumberFormat="1" applyFont="1" applyFill="1" applyBorder="1" applyAlignment="1">
      <alignment horizontal="left" vertical="center"/>
    </xf>
    <xf numFmtId="179" fontId="1" fillId="10" borderId="58" xfId="0" applyNumberFormat="1" applyFont="1" applyFill="1" applyBorder="1" applyAlignment="1">
      <alignment horizontal="left"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60" xfId="0" applyFill="1" applyBorder="1">
      <alignment vertical="center"/>
    </xf>
    <xf numFmtId="176" fontId="1" fillId="8" borderId="39" xfId="0" applyNumberFormat="1" applyFont="1" applyFill="1" applyBorder="1" applyAlignment="1">
      <alignment horizontal="left" vertical="center"/>
    </xf>
    <xf numFmtId="179" fontId="1" fillId="9" borderId="49" xfId="0" applyNumberFormat="1" applyFont="1" applyFill="1" applyBorder="1" applyAlignment="1">
      <alignment horizontal="left" vertical="center"/>
    </xf>
    <xf numFmtId="177" fontId="1" fillId="9" borderId="43" xfId="0" applyNumberFormat="1" applyFont="1" applyFill="1" applyBorder="1" applyAlignment="1">
      <alignment horizontal="left" vertical="center"/>
    </xf>
    <xf numFmtId="177" fontId="1" fillId="9" borderId="35" xfId="0" applyNumberFormat="1" applyFont="1" applyFill="1" applyBorder="1" applyAlignment="1">
      <alignment horizontal="left" vertical="center"/>
    </xf>
    <xf numFmtId="0" fontId="0" fillId="9" borderId="61" xfId="0" applyFill="1" applyBorder="1">
      <alignment vertical="center"/>
    </xf>
    <xf numFmtId="176" fontId="1" fillId="8" borderId="41" xfId="0" applyNumberFormat="1" applyFont="1" applyFill="1" applyBorder="1" applyAlignment="1">
      <alignment horizontal="left" vertical="center"/>
    </xf>
    <xf numFmtId="179" fontId="1" fillId="9" borderId="55" xfId="0" applyNumberFormat="1" applyFont="1" applyFill="1" applyBorder="1" applyAlignment="1">
      <alignment horizontal="left" vertical="center"/>
    </xf>
    <xf numFmtId="177" fontId="1" fillId="9" borderId="41" xfId="0" applyNumberFormat="1" applyFont="1" applyFill="1" applyBorder="1" applyAlignment="1">
      <alignment horizontal="left" vertical="center"/>
    </xf>
    <xf numFmtId="0" fontId="0" fillId="9" borderId="62" xfId="0" applyFill="1" applyBorder="1">
      <alignment vertical="center"/>
    </xf>
    <xf numFmtId="176" fontId="1" fillId="8" borderId="44" xfId="0" applyNumberFormat="1" applyFont="1" applyFill="1" applyBorder="1" applyAlignment="1">
      <alignment horizontal="left" vertical="center"/>
    </xf>
    <xf numFmtId="179" fontId="1" fillId="9" borderId="19" xfId="0" applyNumberFormat="1" applyFont="1" applyFill="1" applyBorder="1" applyAlignment="1">
      <alignment horizontal="left" vertical="center"/>
    </xf>
    <xf numFmtId="177" fontId="1" fillId="9" borderId="44" xfId="0" applyNumberFormat="1" applyFont="1" applyFill="1" applyBorder="1" applyAlignment="1">
      <alignment horizontal="left" vertical="center"/>
    </xf>
    <xf numFmtId="0" fontId="0" fillId="9" borderId="63" xfId="0" applyFill="1" applyBorder="1">
      <alignment vertical="center"/>
    </xf>
    <xf numFmtId="176" fontId="1" fillId="8" borderId="43" xfId="0" applyNumberFormat="1" applyFont="1" applyFill="1" applyBorder="1" applyAlignment="1">
      <alignment horizontal="left" vertical="center"/>
    </xf>
    <xf numFmtId="0" fontId="0" fillId="9" borderId="64" xfId="0" applyFill="1" applyBorder="1">
      <alignment vertical="center"/>
    </xf>
    <xf numFmtId="0" fontId="0" fillId="9" borderId="65" xfId="0" applyFill="1" applyBorder="1">
      <alignment vertical="center"/>
    </xf>
    <xf numFmtId="176" fontId="1" fillId="8" borderId="42" xfId="0" applyNumberFormat="1" applyFont="1" applyFill="1" applyBorder="1" applyAlignment="1">
      <alignment horizontal="left" vertical="center"/>
    </xf>
    <xf numFmtId="176" fontId="1" fillId="8" borderId="11" xfId="0" applyNumberFormat="1" applyFont="1" applyFill="1" applyBorder="1" applyAlignment="1">
      <alignment horizontal="left" vertical="center"/>
    </xf>
    <xf numFmtId="179" fontId="1" fillId="9" borderId="11" xfId="0" applyNumberFormat="1" applyFont="1" applyFill="1" applyBorder="1" applyAlignment="1">
      <alignment horizontal="left" vertical="center"/>
    </xf>
    <xf numFmtId="177" fontId="1" fillId="9" borderId="58" xfId="0" applyNumberFormat="1" applyFont="1" applyFill="1" applyBorder="1" applyAlignment="1">
      <alignment horizontal="left" vertical="center"/>
    </xf>
    <xf numFmtId="0" fontId="0" fillId="9" borderId="66" xfId="0" applyFill="1" applyBorder="1">
      <alignment vertical="center"/>
    </xf>
    <xf numFmtId="0" fontId="4" fillId="0" borderId="0" xfId="0" applyFont="1">
      <alignment vertical="center"/>
    </xf>
    <xf numFmtId="0" fontId="5" fillId="14" borderId="13" xfId="0" applyFont="1" applyFill="1" applyBorder="1" applyAlignment="1">
      <alignment horizontal="centerContinuous" vertical="center"/>
    </xf>
    <xf numFmtId="0" fontId="5" fillId="14" borderId="16" xfId="0" applyFont="1" applyFill="1" applyBorder="1" applyAlignment="1">
      <alignment horizontal="centerContinuous" vertical="center"/>
    </xf>
    <xf numFmtId="0" fontId="5" fillId="14" borderId="14" xfId="0" applyFont="1" applyFill="1" applyBorder="1" applyAlignment="1">
      <alignment horizontal="centerContinuous" vertical="center"/>
    </xf>
    <xf numFmtId="0" fontId="5" fillId="14" borderId="0" xfId="0" applyFont="1" applyFill="1" applyBorder="1" applyAlignment="1">
      <alignment horizontal="centerContinuous" vertical="center"/>
    </xf>
    <xf numFmtId="0" fontId="6" fillId="0" borderId="13" xfId="10" applyFont="1" applyFill="1" applyBorder="1" applyAlignment="1">
      <alignment horizontal="centerContinuous" vertical="center"/>
    </xf>
    <xf numFmtId="0" fontId="6" fillId="0" borderId="16" xfId="10" applyFont="1" applyFill="1" applyBorder="1" applyAlignment="1">
      <alignment horizontal="centerContinuous" vertical="center"/>
    </xf>
    <xf numFmtId="0" fontId="6" fillId="0" borderId="15" xfId="10" applyFont="1" applyFill="1" applyBorder="1" applyAlignment="1">
      <alignment horizontal="centerContinuous" vertical="center"/>
    </xf>
    <xf numFmtId="0" fontId="6" fillId="0" borderId="19" xfId="10" applyFont="1" applyFill="1" applyBorder="1" applyAlignment="1">
      <alignment horizontal="centerContinuous" vertical="center"/>
    </xf>
    <xf numFmtId="0" fontId="7" fillId="8" borderId="13"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7" fillId="8" borderId="14" xfId="0" applyFont="1" applyFill="1" applyBorder="1" applyAlignment="1">
      <alignment horizontal="left" vertical="center" wrapText="1"/>
    </xf>
    <xf numFmtId="0" fontId="7" fillId="8" borderId="0" xfId="0" applyFont="1" applyFill="1" applyAlignment="1">
      <alignment horizontal="left" vertical="center" wrapText="1"/>
    </xf>
    <xf numFmtId="0" fontId="7" fillId="8" borderId="0" xfId="0" applyFont="1" applyFill="1" applyBorder="1" applyAlignment="1">
      <alignment horizontal="left" vertical="center" wrapText="1"/>
    </xf>
    <xf numFmtId="0" fontId="7" fillId="8" borderId="15"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8" borderId="13" xfId="0" applyFont="1" applyFill="1" applyBorder="1" applyAlignment="1">
      <alignment horizontal="left" vertical="center" wrapText="1"/>
    </xf>
    <xf numFmtId="0" fontId="0" fillId="8" borderId="16" xfId="0" applyFont="1" applyFill="1" applyBorder="1" applyAlignment="1">
      <alignment horizontal="left" vertical="center" wrapText="1"/>
    </xf>
    <xf numFmtId="0" fontId="0" fillId="8" borderId="14" xfId="0" applyFont="1" applyFill="1" applyBorder="1" applyAlignment="1">
      <alignment horizontal="left" vertical="center" wrapText="1"/>
    </xf>
    <xf numFmtId="0" fontId="0" fillId="8" borderId="0" xfId="0" applyFont="1" applyFill="1" applyBorder="1" applyAlignment="1">
      <alignment horizontal="left" vertical="center" wrapText="1"/>
    </xf>
    <xf numFmtId="0" fontId="0" fillId="8" borderId="15" xfId="0" applyFont="1" applyFill="1" applyBorder="1" applyAlignment="1">
      <alignment horizontal="left" vertical="center" wrapText="1"/>
    </xf>
    <xf numFmtId="0" fontId="0" fillId="8" borderId="19" xfId="0" applyFont="1" applyFill="1" applyBorder="1" applyAlignment="1">
      <alignment horizontal="left" vertical="center" wrapText="1"/>
    </xf>
    <xf numFmtId="0" fontId="6" fillId="8" borderId="13" xfId="10" applyFont="1" applyFill="1" applyBorder="1" applyAlignment="1">
      <alignment horizontal="center" vertical="center" wrapText="1"/>
    </xf>
    <xf numFmtId="0" fontId="6" fillId="8" borderId="16" xfId="10" applyFont="1" applyFill="1" applyBorder="1" applyAlignment="1">
      <alignment horizontal="center" vertical="center" wrapText="1"/>
    </xf>
    <xf numFmtId="0" fontId="6" fillId="8" borderId="15" xfId="10" applyFont="1" applyFill="1" applyBorder="1" applyAlignment="1">
      <alignment horizontal="center" vertical="center" wrapText="1"/>
    </xf>
    <xf numFmtId="0" fontId="6" fillId="8" borderId="19" xfId="10" applyFont="1" applyFill="1" applyBorder="1" applyAlignment="1">
      <alignment horizontal="center" vertical="center" wrapText="1"/>
    </xf>
    <xf numFmtId="0" fontId="7" fillId="8" borderId="35" xfId="0" applyFont="1" applyFill="1" applyBorder="1" applyAlignment="1">
      <alignment horizontal="left" vertical="center" wrapText="1"/>
    </xf>
    <xf numFmtId="0" fontId="7" fillId="8" borderId="67" xfId="0" applyFont="1" applyFill="1" applyBorder="1" applyAlignment="1">
      <alignment horizontal="left" vertical="center" wrapText="1"/>
    </xf>
    <xf numFmtId="0" fontId="7" fillId="8" borderId="33" xfId="0" applyFont="1" applyFill="1" applyBorder="1" applyAlignment="1">
      <alignment horizontal="left" vertical="center" wrapText="1"/>
    </xf>
    <xf numFmtId="0" fontId="7" fillId="8" borderId="68" xfId="0" applyFont="1" applyFill="1" applyBorder="1" applyAlignment="1">
      <alignment horizontal="left" vertical="center" wrapText="1"/>
    </xf>
    <xf numFmtId="0" fontId="7" fillId="8" borderId="29" xfId="0" applyFont="1" applyFill="1" applyBorder="1" applyAlignment="1">
      <alignment horizontal="left" vertical="center" wrapText="1"/>
    </xf>
    <xf numFmtId="0" fontId="7" fillId="8" borderId="53" xfId="0" applyFont="1" applyFill="1" applyBorder="1" applyAlignment="1">
      <alignment horizontal="left" vertical="center" wrapText="1"/>
    </xf>
    <xf numFmtId="0" fontId="7" fillId="8" borderId="32" xfId="0" applyFont="1" applyFill="1" applyBorder="1" applyAlignment="1">
      <alignment horizontal="left" vertical="center" wrapText="1"/>
    </xf>
    <xf numFmtId="0" fontId="7" fillId="8" borderId="69" xfId="0" applyFont="1" applyFill="1" applyBorder="1" applyAlignment="1">
      <alignment horizontal="left" vertical="center" wrapText="1"/>
    </xf>
    <xf numFmtId="0" fontId="7" fillId="8" borderId="13"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8" fillId="8" borderId="13" xfId="10" applyFont="1" applyFill="1" applyBorder="1" applyAlignment="1">
      <alignment horizontal="center" vertical="center"/>
    </xf>
    <xf numFmtId="0" fontId="8" fillId="8" borderId="16" xfId="10" applyFont="1" applyFill="1" applyBorder="1" applyAlignment="1">
      <alignment horizontal="center" vertical="center"/>
    </xf>
    <xf numFmtId="0" fontId="8" fillId="8" borderId="15" xfId="10" applyFont="1" applyFill="1" applyBorder="1" applyAlignment="1">
      <alignment horizontal="center" vertical="center"/>
    </xf>
    <xf numFmtId="0" fontId="8" fillId="8" borderId="19" xfId="10" applyFont="1" applyFill="1" applyBorder="1" applyAlignment="1">
      <alignment horizontal="center" vertical="center"/>
    </xf>
    <xf numFmtId="0" fontId="8" fillId="0" borderId="13" xfId="10" applyFont="1" applyBorder="1" applyAlignment="1">
      <alignment horizontal="centerContinuous" vertical="center"/>
    </xf>
    <xf numFmtId="0" fontId="8" fillId="0" borderId="16" xfId="10" applyFont="1" applyBorder="1" applyAlignment="1">
      <alignment horizontal="centerContinuous" vertical="center"/>
    </xf>
    <xf numFmtId="0" fontId="8" fillId="0" borderId="15" xfId="10" applyFont="1" applyBorder="1" applyAlignment="1">
      <alignment horizontal="centerContinuous" vertical="center"/>
    </xf>
    <xf numFmtId="0" fontId="8" fillId="0" borderId="19" xfId="10" applyFont="1" applyBorder="1" applyAlignment="1">
      <alignment horizontal="centerContinuous" vertical="center"/>
    </xf>
    <xf numFmtId="0" fontId="6" fillId="0" borderId="13" xfId="10" applyFont="1" applyBorder="1" applyAlignment="1">
      <alignment horizontal="center" vertical="center" wrapText="1"/>
    </xf>
    <xf numFmtId="0" fontId="6" fillId="0" borderId="16" xfId="10" applyFont="1" applyFill="1" applyBorder="1" applyAlignment="1">
      <alignment horizontal="center" vertical="center" wrapText="1"/>
    </xf>
    <xf numFmtId="0" fontId="6" fillId="0" borderId="15" xfId="10" applyFont="1" applyFill="1" applyBorder="1" applyAlignment="1">
      <alignment horizontal="center" vertical="center" wrapText="1"/>
    </xf>
    <xf numFmtId="0" fontId="6" fillId="0" borderId="19" xfId="10" applyFont="1" applyFill="1" applyBorder="1" applyAlignment="1">
      <alignment horizontal="center" vertical="center" wrapText="1"/>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70"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71" xfId="0" applyBorder="1" applyAlignment="1">
      <alignment horizontal="center" vertical="center"/>
    </xf>
    <xf numFmtId="0" fontId="0" fillId="0" borderId="53" xfId="0" applyBorder="1" applyAlignment="1">
      <alignment horizontal="right" vertical="center"/>
    </xf>
    <xf numFmtId="0" fontId="0" fillId="0" borderId="53"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72" xfId="0" applyBorder="1" applyAlignment="1">
      <alignment horizontal="center" vertical="center"/>
    </xf>
    <xf numFmtId="0" fontId="0" fillId="0" borderId="69" xfId="0" applyBorder="1" applyAlignment="1">
      <alignment horizontal="right" vertical="center"/>
    </xf>
    <xf numFmtId="0" fontId="0" fillId="0" borderId="69"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5" fillId="14" borderId="17" xfId="0" applyFont="1" applyFill="1" applyBorder="1" applyAlignment="1">
      <alignment horizontal="centerContinuous" vertical="center"/>
    </xf>
    <xf numFmtId="0" fontId="5" fillId="14" borderId="18" xfId="0" applyFont="1" applyFill="1" applyBorder="1" applyAlignment="1">
      <alignment horizontal="centerContinuous" vertical="center"/>
    </xf>
    <xf numFmtId="0" fontId="6" fillId="0" borderId="17" xfId="10" applyFont="1" applyFill="1" applyBorder="1" applyAlignment="1">
      <alignment horizontal="centerContinuous" vertical="center"/>
    </xf>
    <xf numFmtId="0" fontId="6" fillId="0" borderId="20" xfId="10" applyFont="1" applyFill="1" applyBorder="1" applyAlignment="1">
      <alignment horizontal="centerContinuous" vertical="center"/>
    </xf>
    <xf numFmtId="0" fontId="7" fillId="8" borderId="17"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20" xfId="0" applyFont="1" applyFill="1" applyBorder="1" applyAlignment="1">
      <alignment horizontal="left" vertical="center" wrapText="1"/>
    </xf>
    <xf numFmtId="0" fontId="0" fillId="8" borderId="17" xfId="0" applyFont="1" applyFill="1" applyBorder="1" applyAlignment="1">
      <alignment horizontal="left" vertical="center" wrapText="1"/>
    </xf>
    <xf numFmtId="0" fontId="0" fillId="8" borderId="18" xfId="0" applyFont="1" applyFill="1" applyBorder="1" applyAlignment="1">
      <alignment horizontal="left" vertical="center" wrapText="1"/>
    </xf>
    <xf numFmtId="0" fontId="0" fillId="8" borderId="20" xfId="0" applyFont="1" applyFill="1" applyBorder="1" applyAlignment="1">
      <alignment horizontal="left" vertical="center" wrapText="1"/>
    </xf>
    <xf numFmtId="0" fontId="6" fillId="8" borderId="17" xfId="10" applyFont="1" applyFill="1" applyBorder="1" applyAlignment="1">
      <alignment horizontal="center" vertical="center" wrapText="1"/>
    </xf>
    <xf numFmtId="0" fontId="6" fillId="8" borderId="20" xfId="10" applyFont="1" applyFill="1" applyBorder="1" applyAlignment="1">
      <alignment horizontal="center" vertical="center" wrapText="1"/>
    </xf>
    <xf numFmtId="0" fontId="7" fillId="8" borderId="61" xfId="0" applyFont="1" applyFill="1" applyBorder="1" applyAlignment="1">
      <alignment horizontal="left" vertical="center" wrapText="1"/>
    </xf>
    <xf numFmtId="0" fontId="7" fillId="8" borderId="64" xfId="0" applyFont="1" applyFill="1" applyBorder="1" applyAlignment="1">
      <alignment horizontal="left" vertical="center" wrapText="1"/>
    </xf>
    <xf numFmtId="0" fontId="7" fillId="8" borderId="62" xfId="0" applyFont="1" applyFill="1" applyBorder="1" applyAlignment="1">
      <alignment horizontal="left" vertical="center" wrapText="1"/>
    </xf>
    <xf numFmtId="0" fontId="7" fillId="8" borderId="63" xfId="0" applyFont="1" applyFill="1" applyBorder="1" applyAlignment="1">
      <alignment horizontal="left" vertical="center" wrapText="1"/>
    </xf>
    <xf numFmtId="0" fontId="7" fillId="8" borderId="17"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8" fillId="8" borderId="17" xfId="10" applyFont="1" applyFill="1" applyBorder="1" applyAlignment="1">
      <alignment horizontal="center" vertical="center"/>
    </xf>
    <xf numFmtId="0" fontId="8" fillId="8" borderId="20" xfId="10" applyFont="1" applyFill="1" applyBorder="1" applyAlignment="1">
      <alignment horizontal="center" vertical="center"/>
    </xf>
    <xf numFmtId="0" fontId="8" fillId="0" borderId="17" xfId="10" applyFont="1" applyBorder="1" applyAlignment="1">
      <alignment horizontal="centerContinuous" vertical="center"/>
    </xf>
    <xf numFmtId="0" fontId="8" fillId="0" borderId="20" xfId="10" applyFont="1" applyBorder="1" applyAlignment="1">
      <alignment horizontal="centerContinuous" vertical="center"/>
    </xf>
    <xf numFmtId="0" fontId="6" fillId="0" borderId="17" xfId="10" applyFont="1" applyFill="1" applyBorder="1" applyAlignment="1">
      <alignment horizontal="center" vertical="center" wrapText="1"/>
    </xf>
    <xf numFmtId="0" fontId="6" fillId="0" borderId="20" xfId="10" applyFont="1" applyFill="1" applyBorder="1" applyAlignment="1">
      <alignment horizontal="center" vertical="center" wrapText="1"/>
    </xf>
    <xf numFmtId="0" fontId="0" fillId="0" borderId="34" xfId="0" applyBorder="1" applyAlignment="1">
      <alignment horizontal="center" vertical="center"/>
    </xf>
    <xf numFmtId="0" fontId="0" fillId="0" borderId="62" xfId="0" applyBorder="1">
      <alignment vertical="center"/>
    </xf>
    <xf numFmtId="0" fontId="0" fillId="0" borderId="62" xfId="0" applyBorder="1" applyAlignment="1">
      <alignment horizontal="right" vertical="center"/>
    </xf>
    <xf numFmtId="0" fontId="0" fillId="0" borderId="63" xfId="0" applyBorder="1">
      <alignment vertical="center"/>
    </xf>
    <xf numFmtId="0" fontId="0" fillId="0" borderId="2" xfId="0" applyBorder="1" applyAlignment="1">
      <alignment horizontal="center" vertical="center"/>
    </xf>
    <xf numFmtId="0" fontId="0" fillId="8" borderId="0" xfId="0" applyFill="1">
      <alignment vertical="center"/>
    </xf>
    <xf numFmtId="0" fontId="0" fillId="8" borderId="4" xfId="0" applyFill="1" applyBorder="1">
      <alignment vertical="center"/>
    </xf>
    <xf numFmtId="0" fontId="0" fillId="8" borderId="16" xfId="0" applyFill="1" applyBorder="1" applyAlignment="1">
      <alignment horizontal="center" vertical="center"/>
    </xf>
    <xf numFmtId="0" fontId="0" fillId="8" borderId="13" xfId="0" applyFill="1" applyBorder="1">
      <alignment vertical="center"/>
    </xf>
    <xf numFmtId="0" fontId="0" fillId="8" borderId="4" xfId="0" applyFill="1" applyBorder="1" applyAlignment="1">
      <alignment horizontal="center" vertical="center"/>
    </xf>
    <xf numFmtId="0" fontId="0" fillId="8" borderId="5" xfId="0" applyFill="1" applyBorder="1">
      <alignment vertical="center"/>
    </xf>
    <xf numFmtId="0" fontId="0" fillId="8" borderId="5" xfId="0" applyFill="1" applyBorder="1" applyAlignment="1">
      <alignment horizontal="center" vertical="center"/>
    </xf>
    <xf numFmtId="0" fontId="0" fillId="8" borderId="34" xfId="0" applyFill="1" applyBorder="1" applyAlignment="1">
      <alignment horizontal="center" vertical="center"/>
    </xf>
    <xf numFmtId="0" fontId="0" fillId="8" borderId="6" xfId="0" applyFill="1" applyBorder="1">
      <alignment vertical="center"/>
    </xf>
    <xf numFmtId="0" fontId="0" fillId="8" borderId="6" xfId="0" applyFill="1" applyBorder="1" applyAlignment="1">
      <alignment horizontal="center" vertical="center"/>
    </xf>
    <xf numFmtId="0" fontId="0" fillId="8" borderId="28" xfId="0" applyFill="1" applyBorder="1" applyAlignment="1">
      <alignment horizontal="center" vertical="center"/>
    </xf>
    <xf numFmtId="0" fontId="9" fillId="15" borderId="13" xfId="0" applyFont="1" applyFill="1" applyBorder="1" applyAlignment="1">
      <alignment horizontal="center" vertical="center"/>
    </xf>
    <xf numFmtId="0" fontId="9" fillId="15" borderId="16" xfId="0" applyFont="1" applyFill="1" applyBorder="1" applyAlignment="1">
      <alignment horizontal="center" vertical="center"/>
    </xf>
    <xf numFmtId="0" fontId="9" fillId="15" borderId="14" xfId="0" applyFont="1" applyFill="1" applyBorder="1" applyAlignment="1">
      <alignment horizontal="center" vertical="center"/>
    </xf>
    <xf numFmtId="0" fontId="9" fillId="15" borderId="0" xfId="0" applyFont="1" applyFill="1" applyBorder="1" applyAlignment="1">
      <alignment horizontal="center" vertical="center"/>
    </xf>
    <xf numFmtId="22" fontId="10" fillId="15" borderId="13" xfId="0" applyNumberFormat="1" applyFont="1" applyFill="1" applyBorder="1" applyAlignment="1">
      <alignment horizontal="center" vertical="center"/>
    </xf>
    <xf numFmtId="22" fontId="10" fillId="15" borderId="16" xfId="0" applyNumberFormat="1" applyFont="1" applyFill="1" applyBorder="1" applyAlignment="1">
      <alignment horizontal="center" vertical="center"/>
    </xf>
    <xf numFmtId="22" fontId="10" fillId="15" borderId="14" xfId="0" applyNumberFormat="1" applyFont="1" applyFill="1" applyBorder="1" applyAlignment="1">
      <alignment horizontal="center" vertical="center"/>
    </xf>
    <xf numFmtId="22" fontId="10" fillId="15" borderId="0" xfId="0" applyNumberFormat="1" applyFont="1" applyFill="1" applyAlignment="1">
      <alignment horizontal="center" vertical="center"/>
    </xf>
    <xf numFmtId="0" fontId="1" fillId="8" borderId="6" xfId="0" applyFont="1" applyFill="1" applyBorder="1" applyAlignment="1">
      <alignment horizontal="right" vertical="center"/>
    </xf>
    <xf numFmtId="22" fontId="10" fillId="15" borderId="15" xfId="0" applyNumberFormat="1" applyFont="1" applyFill="1" applyBorder="1" applyAlignment="1">
      <alignment horizontal="center" vertical="center"/>
    </xf>
    <xf numFmtId="22" fontId="10" fillId="15" borderId="19" xfId="0" applyNumberFormat="1" applyFont="1" applyFill="1" applyBorder="1" applyAlignment="1">
      <alignment horizontal="center" vertical="center"/>
    </xf>
    <xf numFmtId="0" fontId="0" fillId="16" borderId="1" xfId="0" applyFill="1" applyBorder="1">
      <alignment vertical="center"/>
    </xf>
    <xf numFmtId="0" fontId="0" fillId="16" borderId="3" xfId="0" applyFill="1" applyBorder="1" applyAlignment="1">
      <alignment horizontal="center" vertical="center"/>
    </xf>
    <xf numFmtId="0" fontId="0" fillId="16" borderId="0" xfId="0" applyFill="1">
      <alignment vertical="center"/>
    </xf>
    <xf numFmtId="0" fontId="0" fillId="0" borderId="6" xfId="0" applyBorder="1">
      <alignment vertical="center"/>
    </xf>
    <xf numFmtId="0" fontId="0" fillId="0" borderId="28" xfId="0" applyBorder="1" applyAlignment="1">
      <alignment horizontal="center" vertical="center"/>
    </xf>
    <xf numFmtId="0" fontId="1" fillId="4" borderId="1" xfId="0" applyFont="1" applyFill="1" applyBorder="1" applyAlignment="1">
      <alignment horizontal="left" vertical="center"/>
    </xf>
    <xf numFmtId="183" fontId="1" fillId="8" borderId="3" xfId="0" applyNumberFormat="1" applyFont="1" applyFill="1" applyBorder="1" applyAlignment="1">
      <alignment horizontal="center" vertical="center"/>
    </xf>
    <xf numFmtId="0" fontId="0" fillId="8" borderId="8" xfId="0" applyFill="1" applyBorder="1">
      <alignment vertical="center"/>
    </xf>
    <xf numFmtId="0" fontId="0" fillId="8" borderId="8" xfId="0" applyFill="1" applyBorder="1" applyAlignment="1">
      <alignment horizontal="center" vertical="center"/>
    </xf>
    <xf numFmtId="0" fontId="0" fillId="16" borderId="8" xfId="0" applyFill="1" applyBorder="1">
      <alignment vertical="center"/>
    </xf>
    <xf numFmtId="0" fontId="0" fillId="16" borderId="30" xfId="0" applyFill="1" applyBorder="1">
      <alignment vertical="center"/>
    </xf>
    <xf numFmtId="0" fontId="9" fillId="8" borderId="14"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8" xfId="0" applyFont="1" applyFill="1" applyBorder="1" applyAlignment="1">
      <alignment horizontal="center" vertical="center" wrapText="1"/>
    </xf>
    <xf numFmtId="0" fontId="11" fillId="8" borderId="14" xfId="0" applyFont="1" applyFill="1" applyBorder="1" applyAlignment="1">
      <alignment horizontal="center" vertical="center"/>
    </xf>
    <xf numFmtId="0" fontId="11" fillId="8" borderId="18"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20" xfId="0" applyFont="1" applyFill="1" applyBorder="1" applyAlignment="1">
      <alignment horizontal="center" vertical="center"/>
    </xf>
    <xf numFmtId="0" fontId="6" fillId="8" borderId="13" xfId="10" applyFont="1" applyFill="1" applyBorder="1" applyAlignment="1">
      <alignment horizontal="center" vertical="center"/>
    </xf>
    <xf numFmtId="0" fontId="6" fillId="8" borderId="17" xfId="10" applyFont="1" applyFill="1" applyBorder="1" applyAlignment="1">
      <alignment horizontal="center" vertical="center"/>
    </xf>
    <xf numFmtId="0" fontId="6" fillId="8" borderId="14" xfId="10" applyFont="1" applyFill="1" applyBorder="1" applyAlignment="1">
      <alignment horizontal="center" vertical="center"/>
    </xf>
    <xf numFmtId="0" fontId="6" fillId="8" borderId="18" xfId="10" applyFont="1" applyFill="1" applyBorder="1" applyAlignment="1">
      <alignment horizontal="center" vertical="center"/>
    </xf>
    <xf numFmtId="0" fontId="9" fillId="8" borderId="15"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6" fillId="8" borderId="15" xfId="10" applyFont="1" applyFill="1" applyBorder="1" applyAlignment="1">
      <alignment horizontal="center" vertical="center"/>
    </xf>
    <xf numFmtId="0" fontId="6" fillId="8" borderId="20" xfId="10" applyFont="1" applyFill="1" applyBorder="1" applyAlignment="1">
      <alignment horizontal="center"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17" borderId="1" xfId="0" applyFill="1" applyBorder="1" applyAlignment="1">
      <alignment horizontal="center" vertical="center"/>
    </xf>
    <xf numFmtId="0" fontId="0" fillId="17" borderId="11" xfId="0" applyFill="1" applyBorder="1" applyAlignment="1">
      <alignment horizontal="center" vertical="center"/>
    </xf>
    <xf numFmtId="0" fontId="0" fillId="8" borderId="1" xfId="0" applyFill="1" applyBorder="1" applyAlignment="1">
      <alignment horizontal="left" vertical="center"/>
    </xf>
    <xf numFmtId="0" fontId="0" fillId="8" borderId="11" xfId="0" applyFill="1" applyBorder="1" applyAlignment="1">
      <alignment horizontal="left" vertical="center"/>
    </xf>
    <xf numFmtId="0" fontId="0" fillId="8" borderId="2" xfId="0" applyFill="1" applyBorder="1" applyAlignment="1">
      <alignment horizontal="left" vertical="center"/>
    </xf>
    <xf numFmtId="0" fontId="0" fillId="17" borderId="2" xfId="0" applyFill="1" applyBorder="1" applyAlignment="1">
      <alignment horizontal="center" vertical="center"/>
    </xf>
    <xf numFmtId="0" fontId="0" fillId="0" borderId="2" xfId="0" applyBorder="1" applyAlignment="1">
      <alignment horizontal="left" vertical="center"/>
    </xf>
    <xf numFmtId="0" fontId="0" fillId="17" borderId="14" xfId="0" applyFill="1" applyBorder="1" applyAlignment="1">
      <alignment horizontal="center" vertical="center"/>
    </xf>
    <xf numFmtId="0" fontId="0" fillId="17" borderId="18" xfId="0" applyFill="1" applyBorder="1" applyAlignment="1">
      <alignment horizontal="center" vertical="center"/>
    </xf>
    <xf numFmtId="184" fontId="0" fillId="18" borderId="0" xfId="0" applyNumberFormat="1" applyFill="1">
      <alignment vertical="center"/>
    </xf>
    <xf numFmtId="184" fontId="0" fillId="8" borderId="0" xfId="0" applyNumberFormat="1" applyFill="1">
      <alignment vertical="center"/>
    </xf>
    <xf numFmtId="184" fontId="0" fillId="19" borderId="18" xfId="0" applyNumberFormat="1" applyFill="1" applyBorder="1">
      <alignment vertical="center"/>
    </xf>
    <xf numFmtId="0" fontId="0" fillId="8" borderId="1" xfId="0" applyFill="1" applyBorder="1">
      <alignment vertical="center"/>
    </xf>
    <xf numFmtId="0" fontId="0" fillId="8" borderId="11" xfId="0" applyFill="1" applyBorder="1">
      <alignment vertical="center"/>
    </xf>
    <xf numFmtId="10" fontId="0" fillId="8" borderId="11" xfId="0" applyNumberFormat="1" applyFill="1" applyBorder="1" applyAlignment="1">
      <alignment horizontal="center" vertical="center"/>
    </xf>
    <xf numFmtId="0" fontId="0" fillId="8" borderId="2" xfId="0" applyFill="1" applyBorder="1">
      <alignment vertical="center"/>
    </xf>
    <xf numFmtId="49" fontId="0" fillId="8" borderId="13" xfId="0" applyNumberFormat="1" applyFill="1" applyBorder="1" applyAlignment="1">
      <alignment horizontal="center" vertical="center" wrapText="1"/>
    </xf>
    <xf numFmtId="49" fontId="0" fillId="8" borderId="16" xfId="0" applyNumberFormat="1" applyFill="1" applyBorder="1" applyAlignment="1">
      <alignment horizontal="center" vertical="center" wrapText="1"/>
    </xf>
    <xf numFmtId="49" fontId="0" fillId="8" borderId="17" xfId="0" applyNumberFormat="1" applyFill="1" applyBorder="1" applyAlignment="1">
      <alignment horizontal="center" vertical="center" wrapText="1"/>
    </xf>
    <xf numFmtId="49" fontId="0" fillId="8" borderId="14" xfId="0" applyNumberFormat="1" applyFill="1" applyBorder="1" applyAlignment="1">
      <alignment horizontal="center" vertical="center" wrapText="1"/>
    </xf>
    <xf numFmtId="49" fontId="0" fillId="8" borderId="0" xfId="0" applyNumberFormat="1" applyFill="1" applyAlignment="1">
      <alignment horizontal="center" vertical="center" wrapText="1"/>
    </xf>
    <xf numFmtId="49" fontId="0" fillId="8" borderId="18" xfId="0" applyNumberFormat="1" applyFill="1" applyBorder="1" applyAlignment="1">
      <alignment horizontal="center" vertical="center" wrapText="1"/>
    </xf>
    <xf numFmtId="49" fontId="0" fillId="8" borderId="15" xfId="0" applyNumberFormat="1" applyFill="1" applyBorder="1" applyAlignment="1">
      <alignment horizontal="center" vertical="center" wrapText="1"/>
    </xf>
    <xf numFmtId="49" fontId="0" fillId="8" borderId="19" xfId="0" applyNumberFormat="1" applyFill="1" applyBorder="1" applyAlignment="1">
      <alignment horizontal="center" vertical="center" wrapText="1"/>
    </xf>
    <xf numFmtId="49" fontId="0" fillId="8" borderId="20" xfId="0" applyNumberForma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20" xfId="0" applyFont="1" applyFill="1" applyBorder="1" applyAlignment="1">
      <alignment horizontal="center" vertical="center" wrapText="1"/>
    </xf>
    <xf numFmtId="0" fontId="1" fillId="8" borderId="0" xfId="0" applyFont="1" applyFill="1" applyBorder="1" applyAlignment="1">
      <alignment vertical="center"/>
    </xf>
    <xf numFmtId="0" fontId="13" fillId="19" borderId="1" xfId="10" applyFont="1" applyFill="1" applyBorder="1" applyAlignment="1">
      <alignment horizontal="centerContinuous" vertical="center"/>
    </xf>
    <xf numFmtId="0" fontId="13" fillId="19" borderId="2" xfId="10" applyFont="1" applyFill="1" applyBorder="1" applyAlignment="1">
      <alignment horizontal="centerContinuous" vertical="center"/>
    </xf>
    <xf numFmtId="0" fontId="13" fillId="19" borderId="15" xfId="10" applyFont="1" applyFill="1" applyBorder="1" applyAlignment="1">
      <alignment horizontal="centerContinuous" vertical="center"/>
    </xf>
    <xf numFmtId="0" fontId="13" fillId="19" borderId="20" xfId="10" applyFont="1" applyFill="1" applyBorder="1" applyAlignment="1">
      <alignment horizontal="centerContinuous" vertical="center"/>
    </xf>
    <xf numFmtId="0" fontId="1" fillId="0" borderId="0" xfId="0" applyFont="1" applyFill="1" applyBorder="1" applyAlignment="1">
      <alignment vertical="center"/>
    </xf>
    <xf numFmtId="0" fontId="14" fillId="20" borderId="13" xfId="0" applyFont="1" applyFill="1" applyBorder="1" applyAlignment="1">
      <alignment horizontal="centerContinuous" vertical="center"/>
    </xf>
    <xf numFmtId="0" fontId="1" fillId="20" borderId="16" xfId="0" applyFont="1" applyFill="1" applyBorder="1" applyAlignment="1">
      <alignment horizontal="centerContinuous" vertical="center"/>
    </xf>
    <xf numFmtId="0" fontId="1" fillId="20" borderId="15" xfId="0" applyFont="1" applyFill="1" applyBorder="1" applyAlignment="1">
      <alignment horizontal="centerContinuous" vertical="center"/>
    </xf>
    <xf numFmtId="0" fontId="1" fillId="20" borderId="19" xfId="0" applyFont="1" applyFill="1" applyBorder="1" applyAlignment="1">
      <alignment horizontal="centerContinuous" vertical="center"/>
    </xf>
    <xf numFmtId="0" fontId="1" fillId="8" borderId="0" xfId="0" applyFont="1" applyFill="1" applyAlignment="1">
      <alignment vertical="center"/>
    </xf>
    <xf numFmtId="0" fontId="1" fillId="8" borderId="0" xfId="0" applyFont="1" applyFill="1" applyAlignment="1">
      <alignment horizontal="centerContinuous" vertical="center"/>
    </xf>
    <xf numFmtId="0" fontId="15" fillId="8" borderId="0" xfId="0" applyFont="1" applyFill="1" applyAlignment="1">
      <alignment vertical="center"/>
    </xf>
    <xf numFmtId="0" fontId="15" fillId="8" borderId="0" xfId="0" applyFont="1" applyFill="1" applyAlignment="1">
      <alignment horizontal="centerContinuous"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77" fontId="1" fillId="21"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7" fontId="1" fillId="2" borderId="3" xfId="0" applyNumberFormat="1" applyFont="1" applyFill="1" applyBorder="1" applyAlignment="1">
      <alignment vertical="center"/>
    </xf>
    <xf numFmtId="0" fontId="1" fillId="2" borderId="1" xfId="0" applyFont="1" applyFill="1" applyBorder="1" applyAlignment="1">
      <alignment horizontal="left" vertical="center"/>
    </xf>
    <xf numFmtId="0" fontId="7" fillId="19" borderId="1" xfId="0" applyFont="1" applyFill="1" applyBorder="1" applyAlignment="1">
      <alignment horizontal="center" vertical="center"/>
    </xf>
    <xf numFmtId="0" fontId="7" fillId="19" borderId="2" xfId="0" applyFont="1" applyFill="1" applyBorder="1" applyAlignment="1">
      <alignment horizontal="center" vertical="center"/>
    </xf>
    <xf numFmtId="0" fontId="0" fillId="19" borderId="1" xfId="0" applyFill="1" applyBorder="1" applyAlignment="1">
      <alignment horizontal="centerContinuous" vertical="center"/>
    </xf>
    <xf numFmtId="0" fontId="0" fillId="19" borderId="2" xfId="0" applyFill="1" applyBorder="1" applyAlignment="1">
      <alignment horizontal="centerContinuous" vertical="center"/>
    </xf>
    <xf numFmtId="177" fontId="1" fillId="19" borderId="3" xfId="0" applyNumberFormat="1" applyFont="1" applyFill="1" applyBorder="1" applyAlignment="1">
      <alignment vertical="center"/>
    </xf>
    <xf numFmtId="0" fontId="1" fillId="19" borderId="1" xfId="0" applyFont="1" applyFill="1" applyBorder="1" applyAlignment="1">
      <alignment horizontal="left" vertical="center"/>
    </xf>
    <xf numFmtId="0" fontId="1" fillId="8" borderId="3" xfId="0" applyFont="1" applyFill="1" applyBorder="1" applyAlignment="1">
      <alignment horizontal="left" vertical="center"/>
    </xf>
    <xf numFmtId="179" fontId="1" fillId="8"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11" xfId="0" applyFont="1" applyFill="1" applyBorder="1" applyAlignment="1">
      <alignment horizontal="left" vertical="center"/>
    </xf>
    <xf numFmtId="0" fontId="1" fillId="22" borderId="1" xfId="0" applyFont="1" applyFill="1" applyBorder="1" applyAlignment="1">
      <alignment horizontal="center" vertical="center"/>
    </xf>
    <xf numFmtId="0" fontId="1" fillId="22" borderId="11" xfId="0" applyFont="1" applyFill="1" applyBorder="1" applyAlignment="1">
      <alignment horizontal="center" vertical="center"/>
    </xf>
    <xf numFmtId="0" fontId="1" fillId="22" borderId="1" xfId="0" applyFont="1" applyFill="1" applyBorder="1" applyAlignment="1">
      <alignment horizontal="left" vertical="center"/>
    </xf>
    <xf numFmtId="0" fontId="1" fillId="22" borderId="11" xfId="0" applyFont="1" applyFill="1" applyBorder="1" applyAlignment="1">
      <alignment horizontal="left" vertical="center"/>
    </xf>
    <xf numFmtId="0" fontId="1" fillId="4" borderId="14"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13" xfId="0" applyFont="1" applyFill="1" applyBorder="1" applyAlignment="1">
      <alignment horizontal="left" vertical="center"/>
    </xf>
    <xf numFmtId="0" fontId="1" fillId="4" borderId="16" xfId="0" applyFont="1" applyFill="1" applyBorder="1" applyAlignment="1">
      <alignment horizontal="left" vertical="center"/>
    </xf>
    <xf numFmtId="0" fontId="0" fillId="7" borderId="1" xfId="0" applyFill="1" applyBorder="1" applyAlignment="1">
      <alignment horizontal="right" vertical="center"/>
    </xf>
    <xf numFmtId="0" fontId="0" fillId="7" borderId="11" xfId="0" applyFill="1" applyBorder="1" applyAlignment="1">
      <alignment horizontal="right" vertical="center"/>
    </xf>
    <xf numFmtId="0" fontId="2"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2" xfId="0" applyFont="1" applyFill="1" applyBorder="1" applyAlignment="1">
      <alignment horizontal="center" vertical="center"/>
    </xf>
    <xf numFmtId="0" fontId="1" fillId="6" borderId="1" xfId="0" applyFont="1" applyFill="1" applyBorder="1" applyAlignment="1">
      <alignment horizontal="right" vertical="center"/>
    </xf>
    <xf numFmtId="0" fontId="1" fillId="6" borderId="11" xfId="0" applyFont="1" applyFill="1" applyBorder="1" applyAlignment="1">
      <alignment horizontal="right" vertical="center"/>
    </xf>
    <xf numFmtId="0" fontId="1" fillId="6" borderId="16" xfId="0" applyFont="1" applyFill="1" applyBorder="1" applyAlignment="1">
      <alignment vertical="center"/>
    </xf>
    <xf numFmtId="0" fontId="1" fillId="6" borderId="13" xfId="0" applyFont="1" applyFill="1" applyBorder="1" applyAlignment="1">
      <alignment horizontal="center" vertical="center"/>
    </xf>
    <xf numFmtId="0" fontId="1" fillId="6" borderId="17" xfId="0" applyFont="1" applyFill="1" applyBorder="1" applyAlignment="1">
      <alignment horizontal="right" vertical="center"/>
    </xf>
    <xf numFmtId="0" fontId="1" fillId="0" borderId="17" xfId="0" applyFont="1" applyFill="1" applyBorder="1" applyAlignment="1">
      <alignment horizontal="left" vertical="center"/>
    </xf>
    <xf numFmtId="0" fontId="16" fillId="18" borderId="4" xfId="0" applyFont="1" applyFill="1" applyBorder="1" applyAlignment="1">
      <alignment vertical="center" wrapText="1"/>
    </xf>
    <xf numFmtId="0" fontId="0" fillId="8" borderId="57" xfId="0" applyFill="1" applyBorder="1">
      <alignment vertical="center"/>
    </xf>
    <xf numFmtId="0" fontId="0" fillId="8" borderId="73" xfId="0" applyFill="1" applyBorder="1" applyAlignment="1">
      <alignment horizontal="center" vertical="center"/>
    </xf>
    <xf numFmtId="0" fontId="0" fillId="8" borderId="66" xfId="0" applyFill="1" applyBorder="1">
      <alignment vertical="center"/>
    </xf>
    <xf numFmtId="0" fontId="16" fillId="18" borderId="12" xfId="0" applyFont="1" applyFill="1" applyBorder="1">
      <alignment vertical="center"/>
    </xf>
    <xf numFmtId="0" fontId="0" fillId="8" borderId="33" xfId="0" applyFill="1" applyBorder="1">
      <alignment vertical="center"/>
    </xf>
    <xf numFmtId="0" fontId="0" fillId="8" borderId="68" xfId="0" applyFill="1" applyBorder="1" applyAlignment="1">
      <alignment horizontal="center" vertical="center"/>
    </xf>
    <xf numFmtId="0" fontId="0" fillId="8" borderId="64" xfId="0" applyFill="1" applyBorder="1">
      <alignment vertical="center"/>
    </xf>
    <xf numFmtId="0" fontId="0" fillId="8" borderId="29" xfId="0" applyFill="1" applyBorder="1">
      <alignment vertical="center"/>
    </xf>
    <xf numFmtId="0" fontId="0" fillId="8" borderId="53" xfId="0" applyFill="1" applyBorder="1" applyAlignment="1">
      <alignment horizontal="center" vertical="center"/>
    </xf>
    <xf numFmtId="0" fontId="0" fillId="8" borderId="62" xfId="0" applyFill="1" applyBorder="1">
      <alignment vertical="center"/>
    </xf>
    <xf numFmtId="0" fontId="16" fillId="18" borderId="7" xfId="0" applyFont="1" applyFill="1" applyBorder="1">
      <alignment vertical="center"/>
    </xf>
    <xf numFmtId="0" fontId="0" fillId="8" borderId="32" xfId="0" applyFill="1" applyBorder="1">
      <alignment vertical="center"/>
    </xf>
    <xf numFmtId="0" fontId="0" fillId="8" borderId="69" xfId="0" applyFill="1" applyBorder="1" applyAlignment="1">
      <alignment horizontal="center" vertical="center"/>
    </xf>
    <xf numFmtId="0" fontId="0" fillId="8" borderId="63" xfId="0" applyFill="1" applyBorder="1">
      <alignment vertical="center"/>
    </xf>
    <xf numFmtId="0" fontId="1" fillId="8" borderId="35" xfId="0" applyFont="1" applyFill="1" applyBorder="1" applyAlignment="1">
      <alignment vertical="center"/>
    </xf>
    <xf numFmtId="0" fontId="1" fillId="8" borderId="67" xfId="0" applyFont="1" applyFill="1" applyBorder="1" applyAlignment="1">
      <alignment vertical="center"/>
    </xf>
    <xf numFmtId="180" fontId="1" fillId="8" borderId="67" xfId="0" applyNumberFormat="1" applyFont="1" applyFill="1" applyBorder="1" applyAlignment="1">
      <alignment horizontal="left" vertical="center"/>
    </xf>
    <xf numFmtId="180" fontId="1" fillId="8" borderId="43" xfId="0" applyNumberFormat="1" applyFont="1" applyFill="1" applyBorder="1" applyAlignment="1">
      <alignment horizontal="left" vertical="center"/>
    </xf>
    <xf numFmtId="0" fontId="1" fillId="8" borderId="45" xfId="0" applyFont="1" applyFill="1" applyBorder="1" applyAlignment="1">
      <alignment vertical="center"/>
    </xf>
    <xf numFmtId="0" fontId="1" fillId="8" borderId="70" xfId="0" applyFont="1" applyFill="1" applyBorder="1" applyAlignment="1">
      <alignment vertical="center"/>
    </xf>
    <xf numFmtId="182" fontId="1" fillId="8" borderId="43" xfId="0" applyNumberFormat="1" applyFont="1" applyFill="1" applyBorder="1" applyAlignment="1">
      <alignment horizontal="left" vertical="center"/>
    </xf>
    <xf numFmtId="0" fontId="1" fillId="8" borderId="29" xfId="0" applyFont="1" applyFill="1" applyBorder="1" applyAlignment="1">
      <alignment vertical="center"/>
    </xf>
    <xf numFmtId="0" fontId="1" fillId="8" borderId="53" xfId="0" applyFont="1" applyFill="1" applyBorder="1" applyAlignment="1">
      <alignment vertical="center"/>
    </xf>
    <xf numFmtId="185" fontId="1" fillId="8" borderId="53" xfId="0" applyNumberFormat="1" applyFont="1" applyFill="1" applyBorder="1" applyAlignment="1">
      <alignment horizontal="left" vertical="center"/>
    </xf>
    <xf numFmtId="185" fontId="1" fillId="8" borderId="41" xfId="0" applyNumberFormat="1" applyFont="1" applyFill="1" applyBorder="1" applyAlignment="1">
      <alignment horizontal="left" vertical="center"/>
    </xf>
    <xf numFmtId="0" fontId="1" fillId="8" borderId="46" xfId="0" applyFont="1" applyFill="1" applyBorder="1" applyAlignment="1">
      <alignment vertical="center"/>
    </xf>
    <xf numFmtId="0" fontId="1" fillId="8" borderId="71" xfId="0" applyFont="1" applyFill="1" applyBorder="1" applyAlignment="1">
      <alignment vertical="center"/>
    </xf>
    <xf numFmtId="182" fontId="1" fillId="8" borderId="41" xfId="0" applyNumberFormat="1" applyFont="1" applyFill="1" applyBorder="1" applyAlignment="1">
      <alignment horizontal="left" vertical="center"/>
    </xf>
    <xf numFmtId="177" fontId="1" fillId="8" borderId="53" xfId="0" applyNumberFormat="1" applyFont="1" applyFill="1" applyBorder="1" applyAlignment="1">
      <alignment horizontal="left" vertical="center"/>
    </xf>
    <xf numFmtId="182" fontId="1" fillId="8" borderId="53" xfId="0" applyNumberFormat="1" applyFont="1" applyFill="1" applyBorder="1" applyAlignment="1">
      <alignment horizontal="left" vertical="center"/>
    </xf>
    <xf numFmtId="0" fontId="1" fillId="8" borderId="26" xfId="0" applyFont="1" applyFill="1" applyBorder="1" applyAlignment="1">
      <alignment vertical="center"/>
    </xf>
    <xf numFmtId="0" fontId="1" fillId="8" borderId="74" xfId="0" applyFont="1" applyFill="1" applyBorder="1" applyAlignment="1">
      <alignment vertical="center"/>
    </xf>
    <xf numFmtId="179" fontId="1" fillId="8" borderId="74" xfId="0" applyNumberFormat="1" applyFont="1" applyFill="1" applyBorder="1" applyAlignment="1">
      <alignment horizontal="left" vertical="center"/>
    </xf>
    <xf numFmtId="179" fontId="1" fillId="8" borderId="42" xfId="0" applyNumberFormat="1" applyFont="1" applyFill="1" applyBorder="1" applyAlignment="1">
      <alignment horizontal="left" vertical="center"/>
    </xf>
    <xf numFmtId="0" fontId="0" fillId="0" borderId="47" xfId="0" applyBorder="1" applyAlignment="1">
      <alignment horizontal="left" vertical="center"/>
    </xf>
    <xf numFmtId="0" fontId="0" fillId="0" borderId="72" xfId="0" applyBorder="1" applyAlignment="1">
      <alignment horizontal="left" vertical="center"/>
    </xf>
    <xf numFmtId="184" fontId="0" fillId="0" borderId="44" xfId="0" applyNumberFormat="1" applyBorder="1" applyAlignment="1">
      <alignment horizontal="left" vertical="center"/>
    </xf>
    <xf numFmtId="0" fontId="1" fillId="8" borderId="57" xfId="0" applyFont="1" applyFill="1" applyBorder="1" applyAlignment="1">
      <alignment vertical="center"/>
    </xf>
    <xf numFmtId="0" fontId="1" fillId="8" borderId="73" xfId="0" applyFont="1" applyFill="1" applyBorder="1" applyAlignment="1">
      <alignment vertical="center"/>
    </xf>
    <xf numFmtId="10" fontId="1" fillId="8" borderId="73" xfId="0" applyNumberFormat="1" applyFont="1" applyFill="1" applyBorder="1" applyAlignment="1">
      <alignment horizontal="left" vertical="center"/>
    </xf>
    <xf numFmtId="10" fontId="1" fillId="8" borderId="58" xfId="0" applyNumberFormat="1" applyFont="1" applyFill="1" applyBorder="1" applyAlignment="1">
      <alignment horizontal="left" vertical="center"/>
    </xf>
    <xf numFmtId="0" fontId="1" fillId="8" borderId="36" xfId="0" applyFont="1" applyFill="1" applyBorder="1" applyAlignment="1">
      <alignment vertical="center"/>
    </xf>
    <xf numFmtId="10" fontId="1" fillId="8" borderId="36" xfId="0" applyNumberFormat="1" applyFont="1" applyFill="1" applyBorder="1" applyAlignment="1">
      <alignment horizontal="left" vertical="center"/>
    </xf>
    <xf numFmtId="0" fontId="17" fillId="8" borderId="14" xfId="0" applyFont="1" applyFill="1" applyBorder="1" applyAlignment="1">
      <alignment horizontal="centerContinuous" vertical="center"/>
    </xf>
    <xf numFmtId="0" fontId="17" fillId="8" borderId="0" xfId="0" applyFont="1" applyFill="1" applyAlignment="1">
      <alignment horizontal="centerContinuous" vertical="center"/>
    </xf>
    <xf numFmtId="0" fontId="1" fillId="8" borderId="14" xfId="0" applyFont="1" applyFill="1" applyBorder="1" applyAlignment="1">
      <alignment vertical="center"/>
    </xf>
    <xf numFmtId="0" fontId="1" fillId="8" borderId="15" xfId="0" applyFont="1" applyFill="1" applyBorder="1" applyAlignment="1">
      <alignment vertical="center"/>
    </xf>
    <xf numFmtId="0" fontId="1" fillId="8" borderId="19" xfId="0" applyFont="1" applyFill="1" applyBorder="1" applyAlignment="1">
      <alignment vertical="center"/>
    </xf>
    <xf numFmtId="0" fontId="9" fillId="8" borderId="13" xfId="0" applyFont="1" applyFill="1" applyBorder="1" applyAlignment="1">
      <alignment horizontal="center" vertical="center"/>
    </xf>
    <xf numFmtId="0" fontId="0" fillId="8" borderId="17" xfId="0" applyFill="1" applyBorder="1" applyAlignment="1">
      <alignment horizontal="center" vertical="center"/>
    </xf>
    <xf numFmtId="0" fontId="0" fillId="8" borderId="14" xfId="0" applyFill="1" applyBorder="1">
      <alignment vertical="center"/>
    </xf>
    <xf numFmtId="0" fontId="0" fillId="8" borderId="18" xfId="0" applyFill="1" applyBorder="1">
      <alignment vertical="center"/>
    </xf>
    <xf numFmtId="0" fontId="0" fillId="8" borderId="0" xfId="0" applyFill="1" applyBorder="1">
      <alignment vertical="center"/>
    </xf>
    <xf numFmtId="0" fontId="1" fillId="8" borderId="18" xfId="0" applyFont="1" applyFill="1" applyBorder="1" applyAlignment="1">
      <alignment vertical="center"/>
    </xf>
    <xf numFmtId="0" fontId="1" fillId="20" borderId="17" xfId="0" applyFont="1" applyFill="1" applyBorder="1" applyAlignment="1">
      <alignment horizontal="centerContinuous" vertical="center"/>
    </xf>
    <xf numFmtId="0" fontId="18" fillId="8" borderId="0" xfId="0" applyFont="1" applyFill="1" applyBorder="1" applyAlignment="1">
      <alignment horizontal="centerContinuous" vertical="center"/>
    </xf>
    <xf numFmtId="0" fontId="1" fillId="20" borderId="20" xfId="0" applyFont="1" applyFill="1" applyBorder="1" applyAlignment="1">
      <alignment horizontal="centerContinuous" vertical="center"/>
    </xf>
    <xf numFmtId="0" fontId="18" fillId="8" borderId="0" xfId="0" applyFont="1" applyFill="1" applyAlignment="1">
      <alignment horizontal="centerContinuous" vertical="center"/>
    </xf>
    <xf numFmtId="0" fontId="1" fillId="19" borderId="11" xfId="0" applyFont="1" applyFill="1" applyBorder="1" applyAlignment="1">
      <alignment horizontal="left" vertical="center"/>
    </xf>
    <xf numFmtId="0" fontId="7" fillId="2" borderId="11"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11" xfId="0" applyFill="1" applyBorder="1" applyAlignment="1">
      <alignment horizontal="center" vertical="center"/>
    </xf>
    <xf numFmtId="0" fontId="7" fillId="6" borderId="13" xfId="0" applyFont="1" applyFill="1" applyBorder="1" applyAlignment="1">
      <alignment horizontal="left" vertical="center"/>
    </xf>
    <xf numFmtId="0" fontId="7" fillId="6" borderId="0" xfId="0" applyFont="1" applyFill="1" applyBorder="1" applyAlignment="1">
      <alignment horizontal="left" vertical="center"/>
    </xf>
    <xf numFmtId="0" fontId="1" fillId="6" borderId="15" xfId="0" applyFont="1" applyFill="1" applyBorder="1" applyAlignment="1">
      <alignment horizontal="center" vertical="center"/>
    </xf>
    <xf numFmtId="0" fontId="1" fillId="6" borderId="20" xfId="0" applyFont="1" applyFill="1" applyBorder="1" applyAlignment="1">
      <alignment horizontal="center" vertical="center"/>
    </xf>
    <xf numFmtId="0" fontId="1" fillId="0" borderId="7" xfId="0" applyFont="1" applyFill="1" applyBorder="1" applyAlignment="1">
      <alignment horizontal="left" vertical="center"/>
    </xf>
    <xf numFmtId="0" fontId="7" fillId="6" borderId="15" xfId="0" applyFont="1" applyFill="1" applyBorder="1" applyAlignment="1">
      <alignment horizontal="left" vertical="center"/>
    </xf>
    <xf numFmtId="0" fontId="7" fillId="6" borderId="19" xfId="0" applyFont="1" applyFill="1" applyBorder="1" applyAlignment="1">
      <alignment horizontal="left" vertical="center"/>
    </xf>
    <xf numFmtId="0" fontId="16" fillId="19" borderId="4" xfId="0" applyFont="1" applyFill="1" applyBorder="1" applyAlignment="1">
      <alignment vertical="center" wrapText="1"/>
    </xf>
    <xf numFmtId="0" fontId="16" fillId="19" borderId="12" xfId="0" applyFont="1" applyFill="1" applyBorder="1">
      <alignment vertical="center"/>
    </xf>
    <xf numFmtId="0" fontId="16" fillId="19" borderId="7" xfId="0" applyFont="1" applyFill="1" applyBorder="1">
      <alignment vertical="center"/>
    </xf>
    <xf numFmtId="182" fontId="1" fillId="8" borderId="34" xfId="0" applyNumberFormat="1" applyFont="1" applyFill="1" applyBorder="1" applyAlignment="1">
      <alignment horizontal="left" vertical="center"/>
    </xf>
    <xf numFmtId="0" fontId="1" fillId="8" borderId="43" xfId="0" applyFont="1" applyFill="1" applyBorder="1" applyAlignment="1">
      <alignment vertical="center"/>
    </xf>
    <xf numFmtId="184" fontId="1" fillId="8" borderId="43" xfId="0" applyNumberFormat="1" applyFont="1" applyFill="1" applyBorder="1" applyAlignment="1">
      <alignment vertical="center"/>
    </xf>
    <xf numFmtId="0" fontId="1" fillId="8" borderId="49" xfId="0" applyFont="1" applyFill="1" applyBorder="1" applyAlignment="1">
      <alignment vertical="center"/>
    </xf>
    <xf numFmtId="0" fontId="7" fillId="8" borderId="43" xfId="0" applyFont="1" applyFill="1" applyBorder="1" applyAlignment="1">
      <alignment horizontal="center" vertical="center"/>
    </xf>
    <xf numFmtId="0" fontId="7" fillId="8" borderId="49" xfId="0" applyFont="1" applyFill="1" applyBorder="1" applyAlignment="1">
      <alignment horizontal="center" vertical="center"/>
    </xf>
    <xf numFmtId="0" fontId="7" fillId="8" borderId="34" xfId="0" applyFont="1" applyFill="1" applyBorder="1" applyAlignment="1">
      <alignment horizontal="center" vertical="center"/>
    </xf>
    <xf numFmtId="182" fontId="1" fillId="8" borderId="28" xfId="0" applyNumberFormat="1" applyFont="1" applyFill="1" applyBorder="1" applyAlignment="1">
      <alignment horizontal="left" vertical="center"/>
    </xf>
    <xf numFmtId="179" fontId="1" fillId="8" borderId="41" xfId="0" applyNumberFormat="1" applyFont="1" applyFill="1" applyBorder="1" applyAlignment="1">
      <alignment vertical="center"/>
    </xf>
    <xf numFmtId="0" fontId="1" fillId="8" borderId="51" xfId="0" applyFont="1" applyFill="1" applyBorder="1" applyAlignment="1">
      <alignment vertical="center"/>
    </xf>
    <xf numFmtId="0" fontId="1" fillId="8" borderId="41" xfId="0" applyFont="1" applyFill="1" applyBorder="1" applyAlignment="1">
      <alignment horizontal="center" vertical="center"/>
    </xf>
    <xf numFmtId="0" fontId="1" fillId="8" borderId="51" xfId="0" applyFont="1" applyFill="1" applyBorder="1" applyAlignment="1">
      <alignment horizontal="center" vertical="center"/>
    </xf>
    <xf numFmtId="0" fontId="1" fillId="8" borderId="28" xfId="0" applyFont="1" applyFill="1" applyBorder="1" applyAlignment="1">
      <alignment horizontal="center" vertical="center"/>
    </xf>
    <xf numFmtId="182" fontId="1" fillId="8" borderId="62" xfId="0" applyNumberFormat="1" applyFont="1" applyFill="1" applyBorder="1" applyAlignment="1">
      <alignment horizontal="left" vertical="center"/>
    </xf>
    <xf numFmtId="0" fontId="1" fillId="8" borderId="75" xfId="0" applyFont="1" applyFill="1" applyBorder="1" applyAlignment="1">
      <alignment vertical="center"/>
    </xf>
    <xf numFmtId="179" fontId="1" fillId="8" borderId="42" xfId="0" applyNumberFormat="1" applyFont="1" applyFill="1" applyBorder="1" applyAlignment="1">
      <alignment vertical="center"/>
    </xf>
    <xf numFmtId="0" fontId="1" fillId="8" borderId="52" xfId="0" applyFont="1" applyFill="1" applyBorder="1" applyAlignment="1">
      <alignment vertical="center"/>
    </xf>
    <xf numFmtId="0" fontId="1" fillId="8" borderId="42" xfId="0" applyFont="1" applyFill="1" applyBorder="1" applyAlignment="1">
      <alignment horizontal="center" vertical="center"/>
    </xf>
    <xf numFmtId="0" fontId="1" fillId="8" borderId="52" xfId="0" applyFont="1" applyFill="1" applyBorder="1" applyAlignment="1">
      <alignment horizontal="center" vertical="center"/>
    </xf>
    <xf numFmtId="0" fontId="1" fillId="8" borderId="27" xfId="0" applyFont="1" applyFill="1" applyBorder="1" applyAlignment="1">
      <alignment horizontal="center" vertical="center"/>
    </xf>
    <xf numFmtId="184" fontId="0" fillId="0" borderId="30" xfId="0" applyNumberFormat="1" applyBorder="1" applyAlignment="1">
      <alignment horizontal="left" vertical="center"/>
    </xf>
    <xf numFmtId="0" fontId="1" fillId="8" borderId="76" xfId="0" applyFont="1" applyFill="1" applyBorder="1" applyAlignment="1">
      <alignment horizontal="center" vertical="center"/>
    </xf>
    <xf numFmtId="0" fontId="1" fillId="8" borderId="40" xfId="0" applyFont="1" applyFill="1" applyBorder="1" applyAlignment="1">
      <alignment horizontal="center" vertical="center"/>
    </xf>
    <xf numFmtId="0" fontId="1" fillId="8" borderId="60" xfId="0" applyFont="1" applyFill="1" applyBorder="1" applyAlignment="1">
      <alignment horizontal="center" vertical="center"/>
    </xf>
    <xf numFmtId="10" fontId="1" fillId="8" borderId="34" xfId="0" applyNumberFormat="1" applyFont="1" applyFill="1" applyBorder="1" applyAlignment="1">
      <alignment horizontal="center" vertical="center"/>
    </xf>
    <xf numFmtId="0" fontId="17" fillId="8" borderId="16"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 fillId="8" borderId="69" xfId="0" applyFont="1" applyFill="1" applyBorder="1" applyAlignment="1">
      <alignment horizontal="center" vertical="center"/>
    </xf>
    <xf numFmtId="0" fontId="1" fillId="8" borderId="63" xfId="0" applyFont="1" applyFill="1" applyBorder="1" applyAlignment="1">
      <alignment horizontal="center" vertical="center"/>
    </xf>
    <xf numFmtId="10" fontId="1" fillId="8" borderId="30" xfId="0" applyNumberFormat="1" applyFont="1" applyFill="1" applyBorder="1" applyAlignment="1">
      <alignment horizontal="center" vertical="center"/>
    </xf>
    <xf numFmtId="0" fontId="17" fillId="8" borderId="0"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8" borderId="0" xfId="0" applyFont="1" applyFill="1" applyBorder="1" applyAlignment="1">
      <alignment horizontal="centerContinuous" vertical="center"/>
    </xf>
    <xf numFmtId="0" fontId="17" fillId="8" borderId="16" xfId="0" applyFont="1" applyFill="1" applyBorder="1" applyAlignment="1">
      <alignment horizontal="centerContinuous" vertical="center"/>
    </xf>
    <xf numFmtId="0" fontId="17" fillId="8" borderId="17" xfId="0" applyFont="1" applyFill="1" applyBorder="1" applyAlignment="1">
      <alignment horizontal="centerContinuous" vertical="center"/>
    </xf>
    <xf numFmtId="0" fontId="1" fillId="8" borderId="20" xfId="0" applyFont="1" applyFill="1" applyBorder="1" applyAlignment="1">
      <alignment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49" fontId="19" fillId="22" borderId="13" xfId="10" applyNumberFormat="1" applyFont="1" applyFill="1" applyBorder="1" applyAlignment="1">
      <alignment horizontal="center" vertical="center" wrapText="1"/>
    </xf>
    <xf numFmtId="49" fontId="19" fillId="22" borderId="16" xfId="10" applyNumberFormat="1" applyFont="1" applyFill="1" applyBorder="1" applyAlignment="1">
      <alignment horizontal="center" vertical="center"/>
    </xf>
    <xf numFmtId="49" fontId="19" fillId="22" borderId="17" xfId="10" applyNumberFormat="1" applyFont="1" applyFill="1" applyBorder="1" applyAlignment="1">
      <alignment horizontal="center" vertical="center"/>
    </xf>
    <xf numFmtId="49" fontId="19" fillId="22" borderId="15" xfId="10" applyNumberFormat="1" applyFont="1" applyFill="1" applyBorder="1" applyAlignment="1">
      <alignment horizontal="center" vertical="center"/>
    </xf>
    <xf numFmtId="49" fontId="19" fillId="22" borderId="19" xfId="10" applyNumberFormat="1" applyFont="1" applyFill="1" applyBorder="1" applyAlignment="1">
      <alignment horizontal="center" vertical="center"/>
    </xf>
    <xf numFmtId="49" fontId="19" fillId="22" borderId="20" xfId="10" applyNumberFormat="1" applyFont="1" applyFill="1" applyBorder="1" applyAlignment="1">
      <alignment horizontal="center" vertical="center"/>
    </xf>
    <xf numFmtId="0" fontId="1" fillId="2" borderId="2" xfId="0" applyFont="1" applyFill="1" applyBorder="1" applyAlignment="1">
      <alignment horizontal="left" vertical="center"/>
    </xf>
    <xf numFmtId="0" fontId="20" fillId="8" borderId="13" xfId="10" applyFont="1" applyFill="1" applyBorder="1" applyAlignment="1">
      <alignment horizontal="center" vertical="center" wrapText="1"/>
    </xf>
    <xf numFmtId="0" fontId="20" fillId="8" borderId="17" xfId="10" applyFont="1" applyFill="1" applyBorder="1" applyAlignment="1">
      <alignment horizontal="center" vertical="center" wrapText="1"/>
    </xf>
    <xf numFmtId="0" fontId="1" fillId="19" borderId="2" xfId="0" applyFont="1" applyFill="1" applyBorder="1" applyAlignment="1">
      <alignment horizontal="left" vertical="center"/>
    </xf>
    <xf numFmtId="0" fontId="20" fillId="8" borderId="14" xfId="10" applyFont="1" applyFill="1" applyBorder="1" applyAlignment="1">
      <alignment horizontal="center" vertical="center" wrapText="1"/>
    </xf>
    <xf numFmtId="0" fontId="20" fillId="8" borderId="18" xfId="10" applyFont="1" applyFill="1" applyBorder="1" applyAlignment="1">
      <alignment horizontal="center" vertical="center" wrapText="1"/>
    </xf>
    <xf numFmtId="0" fontId="1" fillId="5" borderId="2" xfId="0" applyFont="1" applyFill="1" applyBorder="1" applyAlignment="1">
      <alignment horizontal="left" vertical="center"/>
    </xf>
    <xf numFmtId="0" fontId="1" fillId="22" borderId="2" xfId="0" applyFont="1" applyFill="1" applyBorder="1" applyAlignment="1">
      <alignment horizontal="left" vertical="center"/>
    </xf>
    <xf numFmtId="0" fontId="1" fillId="4" borderId="17" xfId="0" applyFont="1" applyFill="1" applyBorder="1" applyAlignment="1">
      <alignment horizontal="left" vertical="center"/>
    </xf>
    <xf numFmtId="0" fontId="0" fillId="4" borderId="2" xfId="0" applyFill="1" applyBorder="1" applyAlignment="1">
      <alignment horizontal="center" vertical="center"/>
    </xf>
    <xf numFmtId="0" fontId="7" fillId="6" borderId="20" xfId="0" applyFont="1" applyFill="1" applyBorder="1" applyAlignment="1">
      <alignment horizontal="left" vertical="center"/>
    </xf>
    <xf numFmtId="0" fontId="20" fillId="8" borderId="15" xfId="10" applyFont="1" applyFill="1" applyBorder="1" applyAlignment="1">
      <alignment horizontal="center" vertical="center" wrapText="1"/>
    </xf>
    <xf numFmtId="0" fontId="20" fillId="8" borderId="20" xfId="1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0" xfId="0" applyFont="1" applyFill="1" applyAlignment="1">
      <alignment vertical="center" wrapText="1"/>
    </xf>
    <xf numFmtId="0" fontId="22" fillId="8" borderId="0" xfId="0" applyFont="1" applyFill="1" applyBorder="1" applyAlignment="1">
      <alignment vertical="center"/>
    </xf>
    <xf numFmtId="0" fontId="23" fillId="8" borderId="13" xfId="0" applyFont="1" applyFill="1" applyBorder="1">
      <alignment vertical="center"/>
    </xf>
    <xf numFmtId="0" fontId="23" fillId="8" borderId="16" xfId="0" applyFont="1" applyFill="1" applyBorder="1">
      <alignment vertical="center"/>
    </xf>
    <xf numFmtId="0" fontId="22" fillId="8" borderId="16" xfId="0" applyFont="1" applyFill="1" applyBorder="1" applyAlignment="1">
      <alignment vertical="center"/>
    </xf>
    <xf numFmtId="0" fontId="22" fillId="8" borderId="16" xfId="0" applyFont="1" applyFill="1" applyBorder="1" applyAlignment="1">
      <alignment vertical="center"/>
    </xf>
    <xf numFmtId="0" fontId="23" fillId="8" borderId="14" xfId="0" applyFont="1" applyFill="1" applyBorder="1">
      <alignment vertical="center"/>
    </xf>
    <xf numFmtId="0" fontId="23" fillId="8" borderId="0" xfId="0" applyFont="1" applyFill="1">
      <alignment vertical="center"/>
    </xf>
    <xf numFmtId="0" fontId="22" fillId="8" borderId="0" xfId="0" applyFont="1" applyFill="1" applyBorder="1" applyAlignment="1">
      <alignment vertical="center"/>
    </xf>
    <xf numFmtId="0" fontId="22" fillId="8" borderId="0" xfId="0" applyFont="1" applyFill="1" applyBorder="1" applyAlignment="1">
      <alignment vertical="center"/>
    </xf>
    <xf numFmtId="0" fontId="22" fillId="23" borderId="0" xfId="0" applyFont="1" applyFill="1" applyBorder="1" applyAlignment="1">
      <alignment vertical="center"/>
    </xf>
    <xf numFmtId="0" fontId="23" fillId="23" borderId="15" xfId="0" applyFont="1" applyFill="1" applyBorder="1">
      <alignment vertical="center"/>
    </xf>
    <xf numFmtId="0" fontId="23" fillId="23" borderId="19" xfId="0" applyFont="1" applyFill="1" applyBorder="1">
      <alignment vertical="center"/>
    </xf>
    <xf numFmtId="0" fontId="22" fillId="23" borderId="19" xfId="0" applyFont="1" applyFill="1" applyBorder="1" applyAlignment="1">
      <alignment vertical="center"/>
    </xf>
    <xf numFmtId="0" fontId="23" fillId="23" borderId="0" xfId="0" applyFont="1" applyFill="1">
      <alignment vertical="center"/>
    </xf>
    <xf numFmtId="177"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8" borderId="1" xfId="0" applyFont="1" applyFill="1" applyBorder="1" applyAlignment="1">
      <alignment vertical="center"/>
    </xf>
    <xf numFmtId="0" fontId="1" fillId="8" borderId="3" xfId="0" applyFont="1" applyFill="1" applyBorder="1" applyAlignment="1">
      <alignment vertical="center"/>
    </xf>
    <xf numFmtId="0" fontId="1" fillId="14" borderId="3"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8" borderId="11" xfId="0" applyFont="1" applyFill="1" applyBorder="1" applyAlignment="1">
      <alignment vertical="center"/>
    </xf>
    <xf numFmtId="0" fontId="1" fillId="9" borderId="3" xfId="0" applyFont="1" applyFill="1" applyBorder="1" applyAlignment="1">
      <alignment vertical="center"/>
    </xf>
    <xf numFmtId="0" fontId="1" fillId="9" borderId="11"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0" borderId="35" xfId="0" applyFont="1" applyFill="1" applyBorder="1" applyAlignment="1">
      <alignment horizontal="left" vertical="top" wrapText="1"/>
    </xf>
    <xf numFmtId="0" fontId="1" fillId="0" borderId="67"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53"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69" xfId="0" applyFont="1" applyFill="1" applyBorder="1" applyAlignment="1">
      <alignment horizontal="left" vertical="top" wrapText="1"/>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6" xfId="0" applyFont="1" applyFill="1" applyBorder="1" applyAlignment="1">
      <alignment vertical="center" wrapText="1"/>
    </xf>
    <xf numFmtId="0" fontId="23" fillId="8" borderId="16" xfId="0" applyFont="1" applyFill="1" applyBorder="1">
      <alignment vertical="center"/>
    </xf>
    <xf numFmtId="0" fontId="23" fillId="8" borderId="16" xfId="0" applyFont="1" applyFill="1" applyBorder="1">
      <alignment vertical="center"/>
    </xf>
    <xf numFmtId="0" fontId="23" fillId="8" borderId="16" xfId="0" applyFont="1" applyFill="1" applyBorder="1">
      <alignment vertical="center"/>
    </xf>
    <xf numFmtId="0" fontId="23" fillId="8" borderId="0" xfId="0" applyFont="1" applyFill="1" applyBorder="1">
      <alignment vertical="center"/>
    </xf>
    <xf numFmtId="0" fontId="23" fillId="8" borderId="0" xfId="0" applyFont="1" applyFill="1" applyBorder="1">
      <alignment vertical="center"/>
    </xf>
    <xf numFmtId="0" fontId="23" fillId="8"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11" xfId="0" applyFont="1" applyFill="1" applyBorder="1" applyAlignment="1">
      <alignment vertical="center"/>
    </xf>
    <xf numFmtId="0" fontId="1" fillId="0" borderId="61" xfId="0" applyFont="1" applyFill="1" applyBorder="1" applyAlignment="1">
      <alignment horizontal="left" vertical="top" wrapText="1"/>
    </xf>
    <xf numFmtId="0" fontId="1" fillId="0" borderId="62" xfId="0" applyFont="1" applyFill="1" applyBorder="1" applyAlignment="1">
      <alignment horizontal="left" vertical="top" wrapText="1"/>
    </xf>
    <xf numFmtId="0" fontId="1" fillId="0" borderId="63" xfId="0" applyFont="1" applyFill="1" applyBorder="1" applyAlignment="1">
      <alignment horizontal="left" vertical="top" wrapText="1"/>
    </xf>
    <xf numFmtId="0" fontId="1" fillId="0" borderId="17" xfId="0" applyFont="1" applyFill="1" applyBorder="1" applyAlignment="1">
      <alignment vertical="center" wrapText="1"/>
    </xf>
    <xf numFmtId="0" fontId="22" fillId="8" borderId="16" xfId="0" applyFont="1" applyFill="1" applyBorder="1" applyAlignment="1">
      <alignment vertical="center"/>
    </xf>
    <xf numFmtId="0" fontId="22" fillId="8" borderId="17" xfId="0" applyFont="1" applyFill="1" applyBorder="1" applyAlignment="1">
      <alignment vertical="center"/>
    </xf>
    <xf numFmtId="0" fontId="22" fillId="8" borderId="18" xfId="0" applyFont="1" applyFill="1" applyBorder="1" applyAlignment="1">
      <alignment vertical="center"/>
    </xf>
    <xf numFmtId="0" fontId="22" fillId="23" borderId="20" xfId="0" applyFont="1" applyFill="1" applyBorder="1" applyAlignment="1">
      <alignment vertical="center"/>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1" fillId="0" borderId="19" xfId="0" applyFont="1" applyFill="1" applyBorder="1" applyAlignment="1">
      <alignment vertical="center" wrapText="1"/>
    </xf>
    <xf numFmtId="0" fontId="24" fillId="8" borderId="13" xfId="0" applyFont="1" applyFill="1" applyBorder="1" applyAlignment="1">
      <alignment vertical="center"/>
    </xf>
    <xf numFmtId="0" fontId="24" fillId="8" borderId="16" xfId="0" applyFont="1" applyFill="1" applyBorder="1" applyAlignment="1">
      <alignment vertical="center"/>
    </xf>
    <xf numFmtId="0" fontId="24" fillId="8" borderId="14" xfId="0" applyFont="1" applyFill="1" applyBorder="1" applyAlignment="1">
      <alignment vertical="center"/>
    </xf>
    <xf numFmtId="0" fontId="24" fillId="8" borderId="0" xfId="0" applyFont="1" applyFill="1" applyBorder="1" applyAlignment="1">
      <alignment vertical="center"/>
    </xf>
    <xf numFmtId="0" fontId="0" fillId="8" borderId="14" xfId="0" applyFont="1" applyFill="1" applyBorder="1">
      <alignment vertical="center"/>
    </xf>
    <xf numFmtId="0" fontId="7" fillId="8" borderId="14" xfId="0" applyFont="1" applyFill="1" applyBorder="1" applyAlignment="1">
      <alignment vertical="center"/>
    </xf>
    <xf numFmtId="0" fontId="7" fillId="8" borderId="0" xfId="0" applyFont="1" applyFill="1" applyBorder="1" applyAlignment="1">
      <alignment vertical="center"/>
    </xf>
    <xf numFmtId="0" fontId="0" fillId="8" borderId="0" xfId="0" applyFont="1" applyFill="1">
      <alignment vertical="center"/>
    </xf>
    <xf numFmtId="0" fontId="0" fillId="8" borderId="15" xfId="0" applyFont="1" applyFill="1" applyBorder="1">
      <alignment vertical="center"/>
    </xf>
    <xf numFmtId="0" fontId="0" fillId="8" borderId="19" xfId="0" applyFont="1" applyFill="1" applyBorder="1">
      <alignment vertical="center"/>
    </xf>
    <xf numFmtId="0" fontId="1" fillId="0" borderId="18" xfId="0" applyFont="1" applyFill="1" applyBorder="1" applyAlignment="1">
      <alignment vertical="center" wrapText="1"/>
    </xf>
    <xf numFmtId="0" fontId="1" fillId="0" borderId="20" xfId="0" applyFont="1" applyFill="1" applyBorder="1" applyAlignment="1">
      <alignment vertical="center" wrapText="1"/>
    </xf>
    <xf numFmtId="0" fontId="24" fillId="8" borderId="17" xfId="0" applyFont="1" applyFill="1" applyBorder="1" applyAlignment="1">
      <alignment vertical="center"/>
    </xf>
    <xf numFmtId="0" fontId="24" fillId="8" borderId="18" xfId="0" applyFont="1" applyFill="1" applyBorder="1" applyAlignment="1">
      <alignment vertical="center"/>
    </xf>
    <xf numFmtId="0" fontId="7" fillId="8" borderId="18" xfId="0" applyFont="1" applyFill="1" applyBorder="1" applyAlignment="1">
      <alignment vertical="center"/>
    </xf>
    <xf numFmtId="0" fontId="0" fillId="8" borderId="18" xfId="0" applyFont="1" applyFill="1" applyBorder="1">
      <alignment vertical="center"/>
    </xf>
    <xf numFmtId="0" fontId="0" fillId="8" borderId="20"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ont>
        <b val="1"/>
        <i val="0"/>
        <color rgb="FFFF0000"/>
      </font>
    </dxf>
    <dxf>
      <fill>
        <patternFill patternType="solid">
          <bgColor theme="0" tint="-0.15"/>
        </patternFill>
      </fill>
    </dxf>
    <dxf>
      <fill>
        <patternFill patternType="solid">
          <bgColor rgb="FFFFFF00"/>
        </patternFill>
      </fill>
    </dxf>
    <dxf>
      <font>
        <b val="1"/>
        <i val="0"/>
        <color rgb="FFFF0000"/>
      </font>
      <fill>
        <patternFill patternType="solid">
          <bgColor rgb="FFFFFF00"/>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scaled="0"/>
              </a:gradFill>
              <a:ln w="25400">
                <a:solidFill>
                  <a:schemeClr val="lt1"/>
                </a:solidFill>
              </a:ln>
              <a:effectLst/>
            </c:spPr>
          </c:dPt>
          <c:dPt>
            <c:idx val="1"/>
            <c:bubble3D val="0"/>
            <c:spPr>
              <a:gradFill>
                <a:gsLst>
                  <a:gs pos="0">
                    <a:srgbClr val="D58AD4"/>
                  </a:gs>
                  <a:gs pos="100000">
                    <a:srgbClr val="9D5ECE"/>
                  </a:gs>
                </a:gsLst>
                <a:lin ang="0" scaled="0"/>
              </a:gradFill>
              <a:ln w="25400">
                <a:solidFill>
                  <a:schemeClr val="lt1"/>
                </a:solidFill>
              </a:ln>
              <a:effectLst/>
            </c:spPr>
          </c:dPt>
          <c:dPt>
            <c:idx val="2"/>
            <c:bubble3D val="0"/>
            <c:spPr>
              <a:gradFill>
                <a:gsLst>
                  <a:gs pos="0">
                    <a:srgbClr val="FBFB11"/>
                  </a:gs>
                  <a:gs pos="100000">
                    <a:srgbClr val="838309"/>
                  </a:gs>
                </a:gsLst>
                <a:lin scaled="0"/>
              </a:gradFill>
              <a:ln w="25400">
                <a:solidFill>
                  <a:schemeClr val="lt1"/>
                </a:solidFill>
              </a:ln>
              <a:effectLst/>
            </c:spPr>
          </c:dPt>
          <c:dPt>
            <c:idx val="3"/>
            <c:bubble3D val="0"/>
            <c:spPr>
              <a:gradFill>
                <a:gsLst>
                  <a:gs pos="0">
                    <a:srgbClr val="FE4444"/>
                  </a:gs>
                  <a:gs pos="100000">
                    <a:srgbClr val="832B2B"/>
                  </a:gs>
                </a:gsLst>
                <a:lin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solidFill>
                <a:srgbClr val="00B050"/>
              </a:solidFill>
              <a:ln w="25400">
                <a:solidFill>
                  <a:schemeClr val="lt1"/>
                </a:solidFill>
              </a:ln>
              <a:effectLst/>
            </c:spPr>
          </c:dPt>
          <c:dPt>
            <c:idx val="6"/>
            <c:bubble3D val="0"/>
            <c:spPr>
              <a:solidFill>
                <a:schemeClr val="accent6">
                  <a:lumMod val="60000"/>
                  <a:lumOff val="40000"/>
                </a:schemeClr>
              </a:solidFill>
              <a:ln w="25400">
                <a:solidFill>
                  <a:schemeClr val="lt1"/>
                </a:solidFill>
              </a:ln>
              <a:effectLst/>
            </c:spPr>
          </c:dPt>
          <c:dPt>
            <c:idx val="7"/>
            <c:bubble3D val="0"/>
            <c:spPr>
              <a:solidFill>
                <a:schemeClr val="accent2">
                  <a:lumMod val="60000"/>
                </a:schemeClr>
              </a:solidFill>
              <a:ln w="25400">
                <a:solidFill>
                  <a:schemeClr val="lt1"/>
                </a:solidFill>
              </a:ln>
              <a:effectLst/>
            </c:spPr>
          </c:dPt>
          <c:dLbls>
            <c:delete val="1"/>
          </c:dLbls>
          <c:cat>
            <c:strRef>
              <c:f>白天模拟!$G$63:$G$70</c:f>
              <c:strCache>
                <c:ptCount val="8"/>
                <c:pt idx="0">
                  <c:v>魔方解析</c:v>
                </c:pt>
                <c:pt idx="1">
                  <c:v>舰装解析</c:v>
                </c:pt>
                <c:pt idx="2">
                  <c:v>金船定向</c:v>
                </c:pt>
                <c:pt idx="3">
                  <c:v>彩船定向</c:v>
                </c:pt>
                <c:pt idx="4">
                  <c:v>资金募集</c:v>
                </c:pt>
                <c:pt idx="5">
                  <c:v>其他白嫖科研</c:v>
                </c:pt>
              </c:strCache>
            </c:strRef>
          </c:cat>
          <c:val>
            <c:numRef>
              <c:f>白天模拟!$H$63:$H$70</c:f>
              <c:numCache>
                <c:formatCode>General</c:formatCode>
                <c:ptCount val="8"/>
                <c:pt idx="0">
                  <c:v>0</c:v>
                </c:pt>
                <c:pt idx="1">
                  <c:v>64.1959351598041</c:v>
                </c:pt>
                <c:pt idx="2">
                  <c:v>0</c:v>
                </c:pt>
                <c:pt idx="3">
                  <c:v>159.839904506796</c:v>
                </c:pt>
                <c:pt idx="4">
                  <c:v>49.9856409250922</c:v>
                </c:pt>
                <c:pt idx="5">
                  <c:v>7.6779318098228</c:v>
                </c:pt>
              </c:numCache>
            </c:numRef>
          </c:val>
        </c:ser>
        <c:dLbls>
          <c:showLegendKey val="0"/>
          <c:showVal val="0"/>
          <c:showCatName val="0"/>
          <c:showSerName val="0"/>
          <c:showPercent val="0"/>
          <c:showBubbleSize val="0"/>
        </c:dLbls>
      </c:pie3DChart>
      <c:spPr>
        <a:noFill/>
        <a:ln>
          <a:noFill/>
        </a:ln>
        <a:effectLst/>
      </c:spPr>
    </c:plotArea>
    <c:legend>
      <c:legendPos val="b"/>
      <c:legendEntry>
        <c:idx val="0"/>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1"/>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2"/>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3"/>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4"/>
        <c:txPr>
          <a:bodyPr rot="0" spcFirstLastPara="0" vertOverflow="ellipsis" vert="horz" wrap="square" anchor="ctr" anchorCtr="1"/>
          <a:lstStyle/>
          <a:p>
            <a:pPr>
              <a:defRPr lang="zh-CN" sz="1000" b="0" i="0" u="none" strike="noStrike" kern="1200" cap="none" spc="0" normalizeH="0" baseline="0">
                <a:ln>
                  <a:noFill/>
                </a:ln>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5"/>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6"/>
        <c:delete val="1"/>
      </c:legendEntry>
      <c:legendEntry>
        <c:idx val="7"/>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scaled="0"/>
              </a:gradFill>
              <a:ln w="25400">
                <a:solidFill>
                  <a:schemeClr val="lt1"/>
                </a:solidFill>
              </a:ln>
              <a:effectLst/>
            </c:spPr>
          </c:dPt>
          <c:dPt>
            <c:idx val="1"/>
            <c:bubble3D val="0"/>
            <c:spPr>
              <a:gradFill>
                <a:gsLst>
                  <a:gs pos="0">
                    <a:srgbClr val="FBFB11"/>
                  </a:gs>
                  <a:gs pos="100000">
                    <a:srgbClr val="838309"/>
                  </a:gs>
                </a:gsLst>
                <a:lin scaled="0"/>
              </a:gradFill>
              <a:ln w="25400">
                <a:solidFill>
                  <a:schemeClr val="lt1"/>
                </a:solidFill>
              </a:ln>
              <a:effectLst/>
            </c:spPr>
          </c:dPt>
          <c:dPt>
            <c:idx val="2"/>
            <c:bubble3D val="0"/>
            <c:spPr>
              <a:gradFill>
                <a:gsLst>
                  <a:gs pos="0">
                    <a:srgbClr val="FE4444"/>
                  </a:gs>
                  <a:gs pos="100000">
                    <a:srgbClr val="832B2B"/>
                  </a:gs>
                </a:gsLst>
                <a:lin scaled="0"/>
              </a:gradFill>
              <a:ln w="25400">
                <a:solidFill>
                  <a:schemeClr val="lt1"/>
                </a:solidFill>
              </a:ln>
              <a:effectLst/>
            </c:spPr>
          </c:dPt>
          <c:dLbls>
            <c:delete val="1"/>
          </c:dLbls>
          <c:cat>
            <c:strRef>
              <c:extLst>
                <c:ext xmlns:c15="http://schemas.microsoft.com/office/drawing/2012/chart" uri="{02D57815-91ED-43cb-92C2-25804820EDAC}">
                  <c15:fullRef>
                    <c15:sqref>白天模拟!$G$63:$G$70</c15:sqref>
                  </c15:fullRef>
                </c:ext>
              </c:extLst>
              <c:f>(白天模拟!$G$63,白天模拟!$G$65:$G$66)</c:f>
              <c:strCache>
                <c:ptCount val="3"/>
                <c:pt idx="0">
                  <c:v>魔方解析</c:v>
                </c:pt>
                <c:pt idx="1">
                  <c:v>金船定向</c:v>
                </c:pt>
                <c:pt idx="2">
                  <c:v>彩船定向</c:v>
                </c:pt>
              </c:strCache>
            </c:strRef>
          </c:cat>
          <c:val>
            <c:numRef>
              <c:extLst>
                <c:ext xmlns:c15="http://schemas.microsoft.com/office/drawing/2012/chart" uri="{02D57815-91ED-43cb-92C2-25804820EDAC}">
                  <c15:fullRef>
                    <c15:sqref>白天模拟!$I$63:$I$70</c15:sqref>
                  </c15:fullRef>
                </c:ext>
              </c:extLst>
              <c:f>(白天模拟!$I$63,白天模拟!$I$65:$I$66)</c:f>
              <c:numCache>
                <c:formatCode>General</c:formatCode>
                <c:ptCount val="3"/>
                <c:pt idx="0">
                  <c:v>0</c:v>
                </c:pt>
                <c:pt idx="1">
                  <c:v>0</c:v>
                </c:pt>
                <c:pt idx="2">
                  <c:v>7.62470136783496</c:v>
                </c:pt>
              </c:numCache>
            </c:numRef>
          </c:val>
        </c:ser>
        <c:dLbls>
          <c:showLegendKey val="0"/>
          <c:showVal val="0"/>
          <c:showCatName val="0"/>
          <c:showSerName val="0"/>
          <c:showPercent val="0"/>
          <c:showBubbleSize val="0"/>
        </c:dLbls>
      </c:pie3DChart>
      <c:spPr>
        <a:noFill/>
        <a:ln>
          <a:noFill/>
        </a:ln>
        <a:effectLst/>
      </c:spPr>
    </c:plotArea>
    <c:legend>
      <c:legendPos val="b"/>
      <c:legendEntry>
        <c:idx val="0"/>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1"/>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2"/>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gradFill>
                <a:gsLst>
                  <a:gs pos="0">
                    <a:srgbClr val="D58AD4"/>
                  </a:gs>
                  <a:gs pos="100000">
                    <a:srgbClr val="9D5ECE"/>
                  </a:gs>
                </a:gsLst>
                <a:lin scaled="0"/>
              </a:gradFill>
              <a:ln w="25400">
                <a:solidFill>
                  <a:schemeClr val="lt1"/>
                </a:solidFill>
              </a:ln>
              <a:effectLst/>
            </c:spPr>
          </c:dPt>
          <c:dPt>
            <c:idx val="1"/>
            <c:bubble3D val="0"/>
            <c:spPr>
              <a:gradFill>
                <a:gsLst>
                  <a:gs pos="0">
                    <a:srgbClr val="FBFB11"/>
                  </a:gs>
                  <a:gs pos="100000">
                    <a:srgbClr val="838309"/>
                  </a:gs>
                </a:gsLst>
                <a:lin scaled="0"/>
              </a:gradFill>
              <a:ln w="25400">
                <a:solidFill>
                  <a:schemeClr val="lt1"/>
                </a:solidFill>
              </a:ln>
              <a:effectLst/>
            </c:spPr>
          </c:dPt>
          <c:dPt>
            <c:idx val="2"/>
            <c:bubble3D val="0"/>
            <c:spPr>
              <a:gradFill>
                <a:gsLst>
                  <a:gs pos="0">
                    <a:srgbClr val="E30000"/>
                  </a:gs>
                  <a:gs pos="100000">
                    <a:srgbClr val="760303"/>
                  </a:gs>
                </a:gsLst>
                <a:lin scaled="0"/>
              </a:gradFill>
              <a:ln w="25400">
                <a:solidFill>
                  <a:schemeClr val="lt1"/>
                </a:solidFill>
              </a:ln>
              <a:effectLst/>
            </c:spPr>
          </c:dPt>
          <c:dPt>
            <c:idx val="3"/>
            <c:bubble3D val="0"/>
            <c:spPr>
              <a:gradFill>
                <a:gsLst>
                  <a:gs pos="0">
                    <a:srgbClr val="7B32B2"/>
                  </a:gs>
                  <a:gs pos="100000">
                    <a:srgbClr val="401A5D"/>
                  </a:gs>
                </a:gsLst>
                <a:lin scaled="0"/>
              </a:gradFill>
              <a:ln w="25400">
                <a:solidFill>
                  <a:schemeClr val="lt1"/>
                </a:solidFill>
              </a:ln>
              <a:effectLst/>
            </c:spPr>
          </c:dPt>
          <c:dPt>
            <c:idx val="4"/>
            <c:bubble3D val="0"/>
            <c:spPr>
              <a:solidFill>
                <a:srgbClr val="00B050"/>
              </a:solidFill>
              <a:ln w="25400">
                <a:solidFill>
                  <a:schemeClr val="lt1"/>
                </a:solidFill>
              </a:ln>
              <a:effectLst/>
            </c:spPr>
          </c:dPt>
          <c:dPt>
            <c:idx val="5"/>
            <c:bubble3D val="0"/>
            <c:spPr>
              <a:solidFill>
                <a:schemeClr val="accent6"/>
              </a:solidFill>
              <a:ln w="25400">
                <a:solidFill>
                  <a:schemeClr val="lt1"/>
                </a:solidFill>
              </a:ln>
              <a:effectLst/>
            </c:spPr>
          </c:dPt>
          <c:dPt>
            <c:idx val="6"/>
            <c:bubble3D val="0"/>
            <c:spPr>
              <a:solidFill>
                <a:schemeClr val="accent1">
                  <a:lumMod val="60000"/>
                </a:schemeClr>
              </a:solidFill>
              <a:ln w="25400">
                <a:solidFill>
                  <a:schemeClr val="lt1"/>
                </a:solidFill>
              </a:ln>
              <a:effectLst/>
            </c:spPr>
          </c:dPt>
          <c:dLbls>
            <c:delete val="1"/>
          </c:dLbls>
          <c:cat>
            <c:strRef>
              <c:f>白天模拟!$G$64:$G$70</c:f>
              <c:strCache>
                <c:ptCount val="7"/>
                <c:pt idx="0">
                  <c:v>舰装解析</c:v>
                </c:pt>
                <c:pt idx="1">
                  <c:v>金船定向</c:v>
                </c:pt>
                <c:pt idx="2">
                  <c:v>彩船定向</c:v>
                </c:pt>
                <c:pt idx="3">
                  <c:v>资金募集</c:v>
                </c:pt>
                <c:pt idx="4">
                  <c:v>其他白嫖科研</c:v>
                </c:pt>
              </c:strCache>
            </c:strRef>
          </c:cat>
          <c:val>
            <c:numRef>
              <c:f>白天模拟!$J$64:$J$70</c:f>
              <c:numCache>
                <c:formatCode>General</c:formatCode>
                <c:ptCount val="7"/>
                <c:pt idx="0">
                  <c:v>6.48349392488609</c:v>
                </c:pt>
                <c:pt idx="1">
                  <c:v>0</c:v>
                </c:pt>
                <c:pt idx="2">
                  <c:v>1.05532140782617</c:v>
                </c:pt>
                <c:pt idx="3">
                  <c:v>0.402345326234857</c:v>
                </c:pt>
                <c:pt idx="4">
                  <c:v>0.0171585260949508</c:v>
                </c:pt>
              </c:numCache>
            </c:numRef>
          </c:val>
        </c:ser>
        <c:dLbls>
          <c:showLegendKey val="0"/>
          <c:showVal val="0"/>
          <c:showCatName val="0"/>
          <c:showSerName val="0"/>
          <c:showPercent val="0"/>
          <c:showBubbleSize val="0"/>
        </c:dLbls>
      </c:pie3DChart>
      <c:spPr>
        <a:noFill/>
        <a:ln>
          <a:noFill/>
        </a:ln>
        <a:effectLst/>
      </c:spPr>
    </c:plotArea>
    <c:legend>
      <c:legendPos val="b"/>
      <c:legendEntry>
        <c:idx val="5"/>
        <c:delete val="1"/>
      </c:legendEntry>
      <c:legendEntry>
        <c:idx val="6"/>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白天模拟!$G$63:$G$68</c:f>
              <c:strCache>
                <c:ptCount val="6"/>
                <c:pt idx="0">
                  <c:v>魔方解析</c:v>
                </c:pt>
                <c:pt idx="1">
                  <c:v>舰装解析</c:v>
                </c:pt>
                <c:pt idx="2">
                  <c:v>金船定向</c:v>
                </c:pt>
                <c:pt idx="3">
                  <c:v>彩船定向</c:v>
                </c:pt>
                <c:pt idx="4">
                  <c:v>资金募集</c:v>
                </c:pt>
                <c:pt idx="5">
                  <c:v>其他白嫖科研</c:v>
                </c:pt>
              </c:strCache>
            </c:strRef>
          </c:cat>
          <c:val>
            <c:numRef>
              <c:f>白天模拟!$K$63:$K$68</c:f>
              <c:numCache>
                <c:formatCode>General</c:formatCode>
                <c:ptCount val="6"/>
                <c:pt idx="0">
                  <c:v>0</c:v>
                </c:pt>
                <c:pt idx="1">
                  <c:v>0</c:v>
                </c:pt>
                <c:pt idx="2">
                  <c:v>0</c:v>
                </c:pt>
                <c:pt idx="3">
                  <c:v>48.0952668233189</c:v>
                </c:pt>
                <c:pt idx="4">
                  <c:v>3.00435991942746</c:v>
                </c:pt>
                <c:pt idx="5">
                  <c:v>0.0416612112078657</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-399945.964285714</c:v>
                </c:pt>
                <c:pt idx="1">
                  <c:v>-1035127.39285714</c:v>
                </c:pt>
                <c:pt idx="2">
                  <c:v>-2135431.67857143</c:v>
                </c:pt>
                <c:pt idx="3">
                  <c:v>-339654.035714288</c:v>
                </c:pt>
                <c:pt idx="4">
                  <c:v>-70656.9642857137</c:v>
                </c:pt>
                <c:pt idx="5">
                  <c:v>-125361.964285715</c:v>
                </c:pt>
                <c:pt idx="6">
                  <c:v>-116434.821428573</c:v>
                </c:pt>
                <c:pt idx="7">
                  <c:v>1672584.10714286</c:v>
                </c:pt>
                <c:pt idx="8">
                  <c:v>-284200.178571429</c:v>
                </c:pt>
                <c:pt idx="9">
                  <c:v>-683934.107142857</c:v>
                </c:pt>
                <c:pt idx="10">
                  <c:v>-1021003.39285714</c:v>
                </c:pt>
                <c:pt idx="11">
                  <c:v>209677.678571429</c:v>
                </c:pt>
                <c:pt idx="12">
                  <c:v>-54100.1785714293</c:v>
                </c:pt>
                <c:pt idx="13">
                  <c:v>-289476.964285716</c:v>
                </c:pt>
                <c:pt idx="14">
                  <c:v>-389871.964285712</c:v>
                </c:pt>
                <c:pt idx="15">
                  <c:v>1104791.96428572</c:v>
                </c:pt>
                <c:pt idx="16">
                  <c:v>-164763.75</c:v>
                </c:pt>
                <c:pt idx="17">
                  <c:v>-327185.892857143</c:v>
                </c:pt>
                <c:pt idx="18">
                  <c:v>-191280.535714283</c:v>
                </c:pt>
                <c:pt idx="19">
                  <c:v>-389344.821428572</c:v>
                </c:pt>
                <c:pt idx="20">
                  <c:v>-362036.25</c:v>
                </c:pt>
                <c:pt idx="21">
                  <c:v>-383451.964285712</c:v>
                </c:pt>
                <c:pt idx="22">
                  <c:v>-1208953.39285714</c:v>
                </c:pt>
                <c:pt idx="23">
                  <c:v>-1546946.25</c:v>
                </c:pt>
                <c:pt idx="24">
                  <c:v>-2362509.10714286</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33</xdr:row>
      <xdr:rowOff>286385</xdr:rowOff>
    </xdr:from>
    <xdr:to>
      <xdr:col>7</xdr:col>
      <xdr:colOff>480060</xdr:colOff>
      <xdr:row>48</xdr:row>
      <xdr:rowOff>144145</xdr:rowOff>
    </xdr:to>
    <xdr:graphicFrame>
      <xdr:nvGraphicFramePr>
        <xdr:cNvPr id="3" name="图表 2"/>
        <xdr:cNvGraphicFramePr/>
      </xdr:nvGraphicFramePr>
      <xdr:xfrm>
        <a:off x="286385" y="7318375"/>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34</xdr:row>
      <xdr:rowOff>86995</xdr:rowOff>
    </xdr:from>
    <xdr:to>
      <xdr:col>15</xdr:col>
      <xdr:colOff>693420</xdr:colOff>
      <xdr:row>48</xdr:row>
      <xdr:rowOff>149860</xdr:rowOff>
    </xdr:to>
    <xdr:graphicFrame>
      <xdr:nvGraphicFramePr>
        <xdr:cNvPr id="4" name="图表 3"/>
        <xdr:cNvGraphicFramePr/>
      </xdr:nvGraphicFramePr>
      <xdr:xfrm>
        <a:off x="5353685" y="7411085"/>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xdr:colOff>
      <xdr:row>166</xdr:row>
      <xdr:rowOff>8890</xdr:rowOff>
    </xdr:from>
    <xdr:to>
      <xdr:col>15</xdr:col>
      <xdr:colOff>469900</xdr:colOff>
      <xdr:row>196</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274320" y="33501965"/>
          <a:ext cx="10058400" cy="5530215"/>
        </a:xfrm>
        <a:prstGeom prst="rect">
          <a:avLst/>
        </a:prstGeom>
      </xdr:spPr>
    </xdr:pic>
    <xdr:clientData/>
  </xdr:twoCellAnchor>
  <xdr:twoCellAnchor>
    <xdr:from>
      <xdr:col>1</xdr:col>
      <xdr:colOff>51435</xdr:colOff>
      <xdr:row>51</xdr:row>
      <xdr:rowOff>0</xdr:rowOff>
    </xdr:from>
    <xdr:to>
      <xdr:col>7</xdr:col>
      <xdr:colOff>511810</xdr:colOff>
      <xdr:row>65</xdr:row>
      <xdr:rowOff>111760</xdr:rowOff>
    </xdr:to>
    <xdr:graphicFrame>
      <xdr:nvGraphicFramePr>
        <xdr:cNvPr id="18" name="图表 17"/>
        <xdr:cNvGraphicFramePr/>
      </xdr:nvGraphicFramePr>
      <xdr:xfrm>
        <a:off x="318135" y="10793095"/>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69215</xdr:colOff>
      <xdr:row>50</xdr:row>
      <xdr:rowOff>163830</xdr:rowOff>
    </xdr:from>
    <xdr:to>
      <xdr:col>15</xdr:col>
      <xdr:colOff>394335</xdr:colOff>
      <xdr:row>65</xdr:row>
      <xdr:rowOff>184150</xdr:rowOff>
    </xdr:to>
    <xdr:graphicFrame>
      <xdr:nvGraphicFramePr>
        <xdr:cNvPr id="2" name="图表 1"/>
        <xdr:cNvGraphicFramePr/>
      </xdr:nvGraphicFramePr>
      <xdr:xfrm>
        <a:off x="5384800" y="10758805"/>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66</xdr:row>
      <xdr:rowOff>36195</xdr:rowOff>
    </xdr:from>
    <xdr:to>
      <xdr:col>19</xdr:col>
      <xdr:colOff>495935</xdr:colOff>
      <xdr:row>98</xdr:row>
      <xdr:rowOff>153035</xdr:rowOff>
    </xdr:to>
    <xdr:graphicFrame>
      <xdr:nvGraphicFramePr>
        <xdr:cNvPr id="6" name="图表 5"/>
        <xdr:cNvGraphicFramePr/>
      </xdr:nvGraphicFramePr>
      <xdr:xfrm>
        <a:off x="361950" y="13810615"/>
        <a:ext cx="13448665" cy="64566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space.bilibili.com/13704065" TargetMode="External"/><Relationship Id="rId2" Type="http://schemas.openxmlformats.org/officeDocument/2006/relationships/hyperlink" Target="https://wiki.biligame.com/blhx/%E9%A6%96%E9%A1%B5" TargetMode="External"/><Relationship Id="rId1" Type="http://schemas.openxmlformats.org/officeDocument/2006/relationships/hyperlink" Target="https://space.bilibili.com/33728518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5"/>
  <sheetViews>
    <sheetView tabSelected="1" zoomScale="80" zoomScaleNormal="80" topLeftCell="A65" workbookViewId="0">
      <selection activeCell="T60" sqref="T60"/>
    </sheetView>
  </sheetViews>
  <sheetFormatPr defaultColWidth="8.88888888888889" defaultRowHeight="14.4"/>
  <cols>
    <col min="1" max="1" width="3.88888888888889" customWidth="1"/>
    <col min="2" max="2" width="11.9444444444444" customWidth="1"/>
    <col min="3" max="3" width="9.77777777777778" customWidth="1"/>
    <col min="4" max="4" width="10.2777777777778" customWidth="1"/>
    <col min="5" max="5" width="12.2222222222222" customWidth="1"/>
    <col min="6" max="6" width="10.8888888888889" customWidth="1"/>
    <col min="7" max="7" width="10.2777777777778" customWidth="1"/>
    <col min="8" max="8" width="8.23148148148148" customWidth="1"/>
    <col min="9" max="9" width="7.88888888888889" customWidth="1"/>
    <col min="10" max="10" width="9.11111111111111" customWidth="1"/>
    <col min="11" max="11" width="9.72222222222222" customWidth="1"/>
    <col min="12" max="12" width="9.02777777777778" customWidth="1"/>
    <col min="13" max="13" width="9.77777777777778" customWidth="1"/>
    <col min="14" max="14" width="10.8888888888889" customWidth="1"/>
    <col min="15" max="15" width="9.88888888888889" customWidth="1"/>
    <col min="16" max="16" width="10.2222222222222" customWidth="1"/>
    <col min="17" max="17" width="16.8888888888889" customWidth="1"/>
    <col min="18" max="18" width="14.3333333333333"/>
    <col min="23" max="23" width="15.4444444444444" customWidth="1"/>
  </cols>
  <sheetData>
    <row r="1" ht="16.35" spans="1:28">
      <c r="A1" s="389"/>
      <c r="B1" s="390" t="s">
        <v>0</v>
      </c>
      <c r="C1" s="391"/>
      <c r="D1" s="389"/>
      <c r="E1" s="389"/>
      <c r="F1" s="389"/>
      <c r="G1" s="389"/>
      <c r="H1" s="389"/>
      <c r="I1" s="389"/>
      <c r="J1" s="389"/>
      <c r="K1" s="389"/>
      <c r="L1" s="389"/>
      <c r="M1" s="389"/>
      <c r="N1" s="389"/>
      <c r="O1" s="389"/>
      <c r="P1" s="389"/>
      <c r="Q1" s="389"/>
      <c r="R1" s="389"/>
      <c r="S1" s="389"/>
      <c r="T1" s="389"/>
      <c r="U1" s="394"/>
      <c r="V1" s="394"/>
      <c r="W1" s="394"/>
      <c r="X1" s="394"/>
      <c r="Y1" s="394"/>
      <c r="Z1" s="394"/>
      <c r="AA1" s="394"/>
      <c r="AB1" s="394"/>
    </row>
    <row r="2" ht="22.95" spans="1:28">
      <c r="A2" s="389"/>
      <c r="B2" s="392"/>
      <c r="C2" s="393"/>
      <c r="D2" s="394"/>
      <c r="E2" s="395" t="s">
        <v>1</v>
      </c>
      <c r="F2" s="396"/>
      <c r="G2" s="396"/>
      <c r="H2" s="396"/>
      <c r="I2" s="396"/>
      <c r="J2" s="396"/>
      <c r="K2" s="396"/>
      <c r="L2" s="396"/>
      <c r="M2" s="396"/>
      <c r="N2" s="502"/>
      <c r="O2" s="503"/>
      <c r="P2" s="503"/>
      <c r="Q2" s="559" t="s">
        <v>2</v>
      </c>
      <c r="R2" s="560"/>
      <c r="S2" s="561"/>
      <c r="T2" s="389"/>
      <c r="U2" s="389"/>
      <c r="V2" s="389"/>
      <c r="W2" s="389"/>
      <c r="X2" s="389"/>
      <c r="Y2" s="389"/>
      <c r="Z2" s="389"/>
      <c r="AA2" s="389"/>
      <c r="AB2" s="389"/>
    </row>
    <row r="3" ht="22.95" spans="1:28">
      <c r="A3" s="389"/>
      <c r="B3" s="389"/>
      <c r="C3" s="389"/>
      <c r="D3" s="389"/>
      <c r="E3" s="397"/>
      <c r="F3" s="398"/>
      <c r="G3" s="398"/>
      <c r="H3" s="398"/>
      <c r="I3" s="398"/>
      <c r="J3" s="398"/>
      <c r="K3" s="398"/>
      <c r="L3" s="398"/>
      <c r="M3" s="398"/>
      <c r="N3" s="504"/>
      <c r="O3" s="503"/>
      <c r="P3" s="306"/>
      <c r="Q3" s="562"/>
      <c r="R3" s="563"/>
      <c r="S3" s="564"/>
      <c r="T3" s="389"/>
      <c r="U3" s="389"/>
      <c r="V3" s="389"/>
      <c r="W3" s="389"/>
      <c r="X3" s="389"/>
      <c r="Y3" s="389"/>
      <c r="Z3" s="389"/>
      <c r="AA3" s="389"/>
      <c r="AB3" s="389"/>
    </row>
    <row r="4" ht="22.2" spans="1:28">
      <c r="A4" s="399"/>
      <c r="B4" t="s">
        <v>3</v>
      </c>
      <c r="C4" s="306"/>
      <c r="D4" s="306"/>
      <c r="E4" s="306"/>
      <c r="G4" s="400"/>
      <c r="H4" s="400"/>
      <c r="I4" s="400"/>
      <c r="J4" s="400"/>
      <c r="K4" s="400"/>
      <c r="L4" s="400"/>
      <c r="M4" s="400"/>
      <c r="N4" s="400"/>
      <c r="O4" s="505"/>
      <c r="P4" s="306"/>
      <c r="Q4" s="306"/>
      <c r="R4" s="306"/>
      <c r="S4" s="306"/>
      <c r="T4" s="389"/>
      <c r="U4" s="389"/>
      <c r="V4" s="389"/>
      <c r="W4" s="389"/>
      <c r="X4" s="389"/>
      <c r="Y4" s="389"/>
      <c r="Z4" s="389"/>
      <c r="AA4" s="389"/>
      <c r="AB4" s="389"/>
    </row>
    <row r="5" ht="21" customHeight="1" spans="1:28">
      <c r="A5" s="399"/>
      <c r="B5" s="306"/>
      <c r="C5" s="401" t="str">
        <f>IF(D8&gt;3,"4期金船一共只有3艘哦","")</f>
        <v/>
      </c>
      <c r="D5" s="401"/>
      <c r="E5" s="401"/>
      <c r="F5" s="402" t="str">
        <f>IF(G8&gt;2,"4期彩船一共只有2艘哦","")</f>
        <v/>
      </c>
      <c r="G5" s="402"/>
      <c r="H5" s="402"/>
      <c r="I5" s="402"/>
      <c r="J5" s="402" t="str">
        <f>IF(K8&gt;11,"2/3期科研船一共只有11艘哦","")</f>
        <v/>
      </c>
      <c r="K5" s="402"/>
      <c r="L5" s="402"/>
      <c r="M5" s="402"/>
      <c r="N5" s="505"/>
      <c r="O5" s="505"/>
      <c r="P5" s="306"/>
      <c r="Q5" s="306"/>
      <c r="R5" s="505"/>
      <c r="S5" s="389"/>
      <c r="T5" s="389"/>
      <c r="U5" s="389"/>
      <c r="V5" s="389"/>
      <c r="W5" s="389"/>
      <c r="X5" s="389"/>
      <c r="Y5" s="389"/>
      <c r="Z5" s="389"/>
      <c r="AA5" s="389"/>
      <c r="AB5" s="389"/>
    </row>
    <row r="6" ht="17" customHeight="1" spans="1:28">
      <c r="A6" s="399"/>
      <c r="B6" s="403" t="s">
        <v>4</v>
      </c>
      <c r="C6" s="404"/>
      <c r="D6" s="405">
        <v>163.91</v>
      </c>
      <c r="E6" s="406" t="s">
        <v>5</v>
      </c>
      <c r="F6" s="407"/>
      <c r="G6" s="408">
        <f>白天模拟!K60</f>
        <v>163.908842127646</v>
      </c>
      <c r="H6" s="409" t="s">
        <v>6</v>
      </c>
      <c r="I6" s="419"/>
      <c r="J6" s="419"/>
      <c r="K6" s="419"/>
      <c r="L6" s="419"/>
      <c r="M6" s="419"/>
      <c r="N6" s="419"/>
      <c r="O6" s="419"/>
      <c r="P6" s="419"/>
      <c r="Q6" s="565"/>
      <c r="R6" s="566" t="s">
        <v>7</v>
      </c>
      <c r="S6" s="567"/>
      <c r="T6" s="389"/>
      <c r="U6" s="389"/>
      <c r="V6" s="389"/>
      <c r="W6" s="389"/>
      <c r="X6" s="389"/>
      <c r="Y6" s="389"/>
      <c r="Z6" s="389"/>
      <c r="AA6" s="389"/>
      <c r="AB6" s="389"/>
    </row>
    <row r="7" ht="17" customHeight="1" spans="1:28">
      <c r="A7" s="399"/>
      <c r="B7" s="410" t="s">
        <v>8</v>
      </c>
      <c r="C7" s="411"/>
      <c r="D7" s="405">
        <v>102.32</v>
      </c>
      <c r="E7" s="412" t="s">
        <v>5</v>
      </c>
      <c r="F7" s="413"/>
      <c r="G7" s="414">
        <f>夜晚模拟!K60</f>
        <v>102.323650952218</v>
      </c>
      <c r="H7" s="415" t="s">
        <v>6</v>
      </c>
      <c r="I7" s="506"/>
      <c r="J7" s="506"/>
      <c r="K7" s="506"/>
      <c r="L7" s="506"/>
      <c r="M7" s="506"/>
      <c r="N7" s="506"/>
      <c r="O7" s="506"/>
      <c r="P7" s="506"/>
      <c r="Q7" s="568"/>
      <c r="R7" s="569"/>
      <c r="S7" s="570"/>
      <c r="T7" s="389"/>
      <c r="U7" s="389"/>
      <c r="V7" s="389"/>
      <c r="W7" s="389"/>
      <c r="X7" s="389"/>
      <c r="Y7" s="389"/>
      <c r="Z7" s="389"/>
      <c r="AA7" s="389"/>
      <c r="AB7" s="389"/>
    </row>
    <row r="8" ht="16" customHeight="1" spans="1:28">
      <c r="A8" s="399"/>
      <c r="B8" s="355" t="s">
        <v>9</v>
      </c>
      <c r="C8" s="356"/>
      <c r="D8" s="416">
        <v>3</v>
      </c>
      <c r="E8" s="53" t="s">
        <v>10</v>
      </c>
      <c r="F8" s="53"/>
      <c r="G8" s="417">
        <v>0</v>
      </c>
      <c r="H8" s="53" t="s">
        <v>11</v>
      </c>
      <c r="I8" s="53"/>
      <c r="J8" s="53"/>
      <c r="K8" s="416">
        <v>0</v>
      </c>
      <c r="L8" s="507" t="s">
        <v>12</v>
      </c>
      <c r="M8" s="507"/>
      <c r="N8" s="507"/>
      <c r="O8" s="507"/>
      <c r="P8" s="507"/>
      <c r="Q8" s="404"/>
      <c r="R8" s="569"/>
      <c r="S8" s="570"/>
      <c r="T8" s="389"/>
      <c r="U8" s="389"/>
      <c r="V8" s="389"/>
      <c r="W8" s="389"/>
      <c r="X8" s="389"/>
      <c r="Y8" s="389"/>
      <c r="Z8" s="389"/>
      <c r="AA8" s="389"/>
      <c r="AB8" s="389"/>
    </row>
    <row r="9" ht="16.35" spans="1:28">
      <c r="A9" s="389"/>
      <c r="B9" s="1" t="s">
        <v>13</v>
      </c>
      <c r="C9" s="2"/>
      <c r="D9" s="418">
        <v>0</v>
      </c>
      <c r="E9" s="409" t="s">
        <v>14</v>
      </c>
      <c r="F9" s="419"/>
      <c r="G9" s="419"/>
      <c r="H9" s="419"/>
      <c r="I9" s="419"/>
      <c r="J9" s="419"/>
      <c r="K9" s="419"/>
      <c r="L9" s="419"/>
      <c r="M9" s="419"/>
      <c r="N9" s="419"/>
      <c r="O9" s="419"/>
      <c r="P9" s="419"/>
      <c r="Q9" s="565"/>
      <c r="R9" s="569"/>
      <c r="S9" s="570"/>
      <c r="T9" s="389"/>
      <c r="U9" s="389"/>
      <c r="V9" s="389"/>
      <c r="W9" s="389"/>
      <c r="X9" s="389"/>
      <c r="Y9" s="389"/>
      <c r="Z9" s="389"/>
      <c r="AA9" s="389"/>
      <c r="AB9" s="389"/>
    </row>
    <row r="10" ht="16.35" spans="1:28">
      <c r="A10" s="389"/>
      <c r="B10" s="420" t="s">
        <v>15</v>
      </c>
      <c r="C10" s="421"/>
      <c r="D10" s="418">
        <v>130</v>
      </c>
      <c r="E10" s="422" t="s">
        <v>16</v>
      </c>
      <c r="F10" s="423"/>
      <c r="G10" s="423"/>
      <c r="H10" s="423"/>
      <c r="I10" s="423"/>
      <c r="J10" s="423"/>
      <c r="K10" s="423"/>
      <c r="L10" s="423"/>
      <c r="M10" s="423"/>
      <c r="N10" s="423"/>
      <c r="O10" s="423"/>
      <c r="P10" s="423"/>
      <c r="Q10" s="571"/>
      <c r="R10" s="569"/>
      <c r="S10" s="570"/>
      <c r="T10" s="306"/>
      <c r="U10" s="306"/>
      <c r="V10" s="306"/>
      <c r="W10" s="306"/>
      <c r="X10" s="389"/>
      <c r="Y10" s="389"/>
      <c r="Z10" s="389"/>
      <c r="AA10" s="389"/>
      <c r="AB10" s="389"/>
    </row>
    <row r="11" ht="16.35" spans="1:28">
      <c r="A11" s="389"/>
      <c r="B11" s="424" t="s">
        <v>17</v>
      </c>
      <c r="C11" s="425"/>
      <c r="D11" s="418">
        <v>20</v>
      </c>
      <c r="E11" s="426" t="s">
        <v>18</v>
      </c>
      <c r="F11" s="427"/>
      <c r="G11" s="427"/>
      <c r="H11" s="427"/>
      <c r="I11" s="427"/>
      <c r="J11" s="427"/>
      <c r="K11" s="427"/>
      <c r="L11" s="427"/>
      <c r="M11" s="427"/>
      <c r="N11" s="427"/>
      <c r="O11" s="427"/>
      <c r="P11" s="427"/>
      <c r="Q11" s="572"/>
      <c r="R11" s="569"/>
      <c r="S11" s="570"/>
      <c r="T11" s="306"/>
      <c r="U11" s="306"/>
      <c r="V11" s="306"/>
      <c r="W11" s="306"/>
      <c r="X11" s="389"/>
      <c r="Y11" s="389"/>
      <c r="Z11" s="389"/>
      <c r="AA11" s="389"/>
      <c r="AB11" s="389"/>
    </row>
    <row r="12" ht="16.35" spans="1:28">
      <c r="A12" s="389"/>
      <c r="B12" s="428" t="s">
        <v>19</v>
      </c>
      <c r="C12" s="429"/>
      <c r="D12" s="430">
        <v>15</v>
      </c>
      <c r="E12" s="431" t="s">
        <v>20</v>
      </c>
      <c r="F12" s="432" t="s">
        <v>21</v>
      </c>
      <c r="G12" s="433"/>
      <c r="H12" s="433"/>
      <c r="I12" s="433"/>
      <c r="J12" s="433"/>
      <c r="K12" s="433"/>
      <c r="L12" s="433"/>
      <c r="M12" s="433"/>
      <c r="N12" s="433"/>
      <c r="O12" s="433"/>
      <c r="P12" s="433"/>
      <c r="Q12" s="573"/>
      <c r="R12" s="569"/>
      <c r="S12" s="570"/>
      <c r="T12" s="306"/>
      <c r="U12" s="306"/>
      <c r="V12" s="306"/>
      <c r="W12" s="306"/>
      <c r="X12" s="389"/>
      <c r="Y12" s="389"/>
      <c r="Z12" s="389"/>
      <c r="AA12" s="389"/>
      <c r="AB12" s="389"/>
    </row>
    <row r="13" ht="16.35" spans="1:28">
      <c r="A13" s="389"/>
      <c r="B13" s="434" t="s">
        <v>22</v>
      </c>
      <c r="C13" s="435"/>
      <c r="D13" s="436">
        <v>3</v>
      </c>
      <c r="E13" s="437" t="s">
        <v>23</v>
      </c>
      <c r="F13" s="438" t="s">
        <v>24</v>
      </c>
      <c r="G13" s="439"/>
      <c r="H13" s="440"/>
      <c r="I13" s="430">
        <v>16</v>
      </c>
      <c r="J13" s="508" t="s">
        <v>25</v>
      </c>
      <c r="K13" s="509" t="s">
        <v>26</v>
      </c>
      <c r="L13" s="510"/>
      <c r="M13" s="510"/>
      <c r="N13" s="510"/>
      <c r="O13" s="510"/>
      <c r="P13" s="510"/>
      <c r="Q13" s="574"/>
      <c r="R13" s="569"/>
      <c r="S13" s="570"/>
      <c r="T13" s="306"/>
      <c r="U13" s="306"/>
      <c r="V13" s="306"/>
      <c r="W13" s="306"/>
      <c r="X13" s="389"/>
      <c r="Y13" s="389"/>
      <c r="Z13" s="389"/>
      <c r="AA13" s="389"/>
      <c r="AB13" s="389"/>
    </row>
    <row r="14" ht="16.35" spans="1:28">
      <c r="A14" s="389"/>
      <c r="B14" s="441" t="s">
        <v>27</v>
      </c>
      <c r="C14" s="442"/>
      <c r="D14" s="430">
        <v>15</v>
      </c>
      <c r="E14" s="443" t="s">
        <v>28</v>
      </c>
      <c r="F14" s="444" t="s">
        <v>29</v>
      </c>
      <c r="G14" s="445"/>
      <c r="H14" s="446">
        <v>11</v>
      </c>
      <c r="I14" s="511" t="s">
        <v>30</v>
      </c>
      <c r="J14" s="512"/>
      <c r="K14" s="513" t="s">
        <v>31</v>
      </c>
      <c r="L14" s="514"/>
      <c r="M14" s="515">
        <v>15</v>
      </c>
      <c r="N14" s="516" t="s">
        <v>30</v>
      </c>
      <c r="O14" s="517"/>
      <c r="P14" s="517"/>
      <c r="Q14" s="575"/>
      <c r="R14" s="576"/>
      <c r="S14" s="577"/>
      <c r="T14" s="306"/>
      <c r="U14" s="306"/>
      <c r="V14" s="306"/>
      <c r="W14" s="306"/>
      <c r="X14" s="389"/>
      <c r="Y14" s="389"/>
      <c r="Z14" s="389"/>
      <c r="AA14" s="389"/>
      <c r="AB14" s="389"/>
    </row>
    <row r="15" ht="16.35" spans="1:28">
      <c r="A15" s="389"/>
      <c r="B15" s="447" t="s">
        <v>32</v>
      </c>
      <c r="C15" s="448" t="s">
        <v>33</v>
      </c>
      <c r="D15" s="449" t="s">
        <v>34</v>
      </c>
      <c r="E15" s="449"/>
      <c r="F15" s="450" t="s">
        <v>35</v>
      </c>
      <c r="G15" s="448" t="s">
        <v>33</v>
      </c>
      <c r="H15" s="449" t="s">
        <v>34</v>
      </c>
      <c r="I15" s="449"/>
      <c r="J15" s="450" t="s">
        <v>35</v>
      </c>
      <c r="K15" s="518" t="s">
        <v>36</v>
      </c>
      <c r="L15" s="448" t="s">
        <v>33</v>
      </c>
      <c r="M15" s="449" t="s">
        <v>34</v>
      </c>
      <c r="N15" s="449"/>
      <c r="O15" s="450" t="s">
        <v>35</v>
      </c>
      <c r="P15" s="448" t="s">
        <v>33</v>
      </c>
      <c r="Q15" s="449" t="s">
        <v>34</v>
      </c>
      <c r="R15" s="449"/>
      <c r="S15" s="450" t="s">
        <v>35</v>
      </c>
      <c r="T15" s="306"/>
      <c r="U15" s="306"/>
      <c r="V15" s="306"/>
      <c r="W15" s="306"/>
      <c r="X15" s="389"/>
      <c r="Y15" s="389"/>
      <c r="Z15" s="389"/>
      <c r="AA15" s="389"/>
      <c r="AB15" s="389"/>
    </row>
    <row r="16" ht="15.6" spans="1:28">
      <c r="A16" s="389"/>
      <c r="B16" s="451"/>
      <c r="C16" s="452">
        <v>1</v>
      </c>
      <c r="D16" s="453" t="str">
        <f>VLOOKUP(1,数据表!A1:B26,2,0)</f>
        <v>舰装解析0.5h</v>
      </c>
      <c r="E16" s="453"/>
      <c r="F16" s="454" t="str">
        <f>IF(C16&gt;H14,"是","否")</f>
        <v>否</v>
      </c>
      <c r="G16" s="452">
        <v>14</v>
      </c>
      <c r="H16" s="453" t="str">
        <f>VLOOKUP(14,数据表!A1:B26,2,0)</f>
        <v>试验品募集2h紫</v>
      </c>
      <c r="I16" s="453"/>
      <c r="J16" s="454" t="str">
        <f>IF(G16&gt;H14,"是","否")</f>
        <v>是</v>
      </c>
      <c r="K16" s="519"/>
      <c r="L16" s="452">
        <v>1</v>
      </c>
      <c r="M16" s="453" t="str">
        <f>VLOOKUP(1,数据表!C1:D26,2,0)</f>
        <v>舰装解析0.5h</v>
      </c>
      <c r="N16" s="453"/>
      <c r="O16" s="454" t="str">
        <f>IF(L16&gt;M14,"是","否")</f>
        <v>否</v>
      </c>
      <c r="P16" s="452">
        <v>14</v>
      </c>
      <c r="Q16" s="453" t="str">
        <f>VLOOKUP(14,数据表!C1:D26,2,0)</f>
        <v>金船定向2.5h</v>
      </c>
      <c r="R16" s="453"/>
      <c r="S16" s="454" t="str">
        <f>IF(P16&gt;M14,"是","否")</f>
        <v>否</v>
      </c>
      <c r="T16" s="306"/>
      <c r="U16" s="306"/>
      <c r="V16" s="306"/>
      <c r="W16" s="306"/>
      <c r="X16" s="389"/>
      <c r="Y16" s="389"/>
      <c r="Z16" s="389"/>
      <c r="AA16" s="389"/>
      <c r="AB16" s="389"/>
    </row>
    <row r="17" ht="15.6" spans="1:28">
      <c r="A17" s="389"/>
      <c r="B17" s="451"/>
      <c r="C17" s="455">
        <v>2</v>
      </c>
      <c r="D17" s="456" t="str">
        <f>VLOOKUP(2,数据表!A1:B26,2,0)</f>
        <v>彩船定向0.5h</v>
      </c>
      <c r="E17" s="456"/>
      <c r="F17" s="457" t="str">
        <f>IF(C17&gt;H14,"是","否")</f>
        <v>否</v>
      </c>
      <c r="G17" s="455">
        <v>15</v>
      </c>
      <c r="H17" s="456" t="str">
        <f>VLOOKUP(15,数据表!A1:B26,2,0)</f>
        <v>金数据收集4h</v>
      </c>
      <c r="I17" s="456"/>
      <c r="J17" s="457" t="str">
        <f>IF(G17&gt;H14,"是","否")</f>
        <v>是</v>
      </c>
      <c r="K17" s="519"/>
      <c r="L17" s="455">
        <v>2</v>
      </c>
      <c r="M17" s="456" t="str">
        <f>VLOOKUP(2,数据表!C1:D26,2,0)</f>
        <v>彩船定向0.5h</v>
      </c>
      <c r="N17" s="456"/>
      <c r="O17" s="457" t="str">
        <f>IF(L17&gt;M14,"是","否")</f>
        <v>否</v>
      </c>
      <c r="P17" s="455">
        <v>15</v>
      </c>
      <c r="Q17" s="456" t="str">
        <f>VLOOKUP(15,数据表!C1:D26,2,0)</f>
        <v>资金募集2.5h</v>
      </c>
      <c r="R17" s="456"/>
      <c r="S17" s="457" t="str">
        <f>IF(P17&gt;M14,"是","否")</f>
        <v>否</v>
      </c>
      <c r="T17" s="306"/>
      <c r="U17" s="306"/>
      <c r="V17" s="306"/>
      <c r="W17" s="306"/>
      <c r="X17" s="389"/>
      <c r="Y17" s="389"/>
      <c r="Z17" s="389"/>
      <c r="AA17" s="389"/>
      <c r="AB17" s="389"/>
    </row>
    <row r="18" ht="15.6" spans="1:28">
      <c r="A18" s="389"/>
      <c r="B18" s="451"/>
      <c r="C18" s="455">
        <v>3</v>
      </c>
      <c r="D18" s="456" t="str">
        <f>VLOOKUP(3,数据表!A1:B26,2,0)</f>
        <v>金船定向0.5h</v>
      </c>
      <c r="E18" s="456"/>
      <c r="F18" s="457" t="str">
        <f>IF(C18&gt;H14,"是","否")</f>
        <v>否</v>
      </c>
      <c r="G18" s="455">
        <v>16</v>
      </c>
      <c r="H18" s="456" t="str">
        <f>VLOOKUP(16,数据表!A1:B26,2,0)</f>
        <v>试验品募集2h蓝</v>
      </c>
      <c r="I18" s="456"/>
      <c r="J18" s="457" t="str">
        <f>IF(G18&gt;H14,"是","否")</f>
        <v>是</v>
      </c>
      <c r="K18" s="519"/>
      <c r="L18" s="455">
        <v>3</v>
      </c>
      <c r="M18" s="456" t="str">
        <f>VLOOKUP(3,数据表!C1:D26,2,0)</f>
        <v>彩船定向8h</v>
      </c>
      <c r="N18" s="456"/>
      <c r="O18" s="457" t="str">
        <f>IF(L18&gt;M14,"是","否")</f>
        <v>否</v>
      </c>
      <c r="P18" s="455">
        <v>16</v>
      </c>
      <c r="Q18" s="456" t="str">
        <f>VLOOKUP(16,数据表!C1:D26,2,0)</f>
        <v>基础研究6h</v>
      </c>
      <c r="R18" s="456"/>
      <c r="S18" s="457" t="str">
        <f>IF(P18&gt;M14,"是","否")</f>
        <v>是</v>
      </c>
      <c r="T18" s="306"/>
      <c r="U18" s="306"/>
      <c r="V18" s="306"/>
      <c r="W18" s="306"/>
      <c r="X18" s="389"/>
      <c r="Y18" s="389"/>
      <c r="Z18" s="389"/>
      <c r="AA18" s="389"/>
      <c r="AB18" s="389"/>
    </row>
    <row r="19" ht="15.6" spans="1:28">
      <c r="A19" s="389"/>
      <c r="B19" s="451"/>
      <c r="C19" s="455">
        <v>4</v>
      </c>
      <c r="D19" s="456" t="str">
        <f>VLOOKUP(4,数据表!A1:B26,2,0)</f>
        <v>彩船定向2.5h</v>
      </c>
      <c r="E19" s="456"/>
      <c r="F19" s="457" t="str">
        <f>IF(C19&gt;H14,"是","否")</f>
        <v>否</v>
      </c>
      <c r="G19" s="455">
        <v>17</v>
      </c>
      <c r="H19" s="456" t="str">
        <f>VLOOKUP(17,数据表!A1:B26,2,0)</f>
        <v>彩船定向8h</v>
      </c>
      <c r="I19" s="456"/>
      <c r="J19" s="457" t="str">
        <f>IF(G19&gt;H14,"是","否")</f>
        <v>是</v>
      </c>
      <c r="K19" s="519"/>
      <c r="L19" s="455">
        <v>4</v>
      </c>
      <c r="M19" s="456" t="str">
        <f>VLOOKUP(4,数据表!C1:D26,2,0)</f>
        <v>金船定向8h</v>
      </c>
      <c r="N19" s="456"/>
      <c r="O19" s="457" t="str">
        <f>IF(L19&gt;M14,"是","否")</f>
        <v>否</v>
      </c>
      <c r="P19" s="455">
        <v>17</v>
      </c>
      <c r="Q19" s="456" t="str">
        <f>VLOOKUP(17,数据表!C1:D26,2,0)</f>
        <v>资金募集1.5h</v>
      </c>
      <c r="R19" s="456"/>
      <c r="S19" s="457" t="str">
        <f>IF(P19&gt;M14,"是","否")</f>
        <v>是</v>
      </c>
      <c r="T19" s="306"/>
      <c r="U19" s="306"/>
      <c r="V19" s="306"/>
      <c r="W19" s="306"/>
      <c r="X19" s="389"/>
      <c r="Y19" s="389"/>
      <c r="Z19" s="389"/>
      <c r="AA19" s="389"/>
      <c r="AB19" s="389"/>
    </row>
    <row r="20" ht="15.6" spans="1:28">
      <c r="A20" s="389"/>
      <c r="B20" s="451"/>
      <c r="C20" s="455">
        <v>5</v>
      </c>
      <c r="D20" s="456" t="str">
        <f>VLOOKUP(5,数据表!A1:B26,2,0)</f>
        <v>舰装解析1h</v>
      </c>
      <c r="E20" s="456"/>
      <c r="F20" s="457" t="str">
        <f>IF(C20&gt;H14,"是","否")</f>
        <v>否</v>
      </c>
      <c r="G20" s="455">
        <v>18</v>
      </c>
      <c r="H20" s="456" t="str">
        <f>VLOOKUP(18,数据表!A1:B26,2,0)</f>
        <v>魔方解析1h</v>
      </c>
      <c r="I20" s="456"/>
      <c r="J20" s="457" t="str">
        <f>IF(G20&gt;H14,"是","否")</f>
        <v>是</v>
      </c>
      <c r="K20" s="519"/>
      <c r="L20" s="455">
        <v>5</v>
      </c>
      <c r="M20" s="456" t="str">
        <f>VLOOKUP(5,数据表!C1:D26,2,0)</f>
        <v>彩船定向5h</v>
      </c>
      <c r="N20" s="456"/>
      <c r="O20" s="457" t="str">
        <f>IF(L20&gt;M14,"是","否")</f>
        <v>否</v>
      </c>
      <c r="P20" s="455">
        <v>18</v>
      </c>
      <c r="Q20" s="456" t="str">
        <f>VLOOKUP(18,数据表!C1:D26,2,0)</f>
        <v>心智补全0.5h</v>
      </c>
      <c r="R20" s="456"/>
      <c r="S20" s="457" t="str">
        <f>IF(P20&gt;M14,"是","否")</f>
        <v>是</v>
      </c>
      <c r="T20" s="306"/>
      <c r="U20" s="306"/>
      <c r="V20" s="306"/>
      <c r="W20" s="306"/>
      <c r="X20" s="389"/>
      <c r="Y20" s="389"/>
      <c r="Z20" s="389"/>
      <c r="AA20" s="389"/>
      <c r="AB20" s="389"/>
    </row>
    <row r="21" ht="15.6" spans="1:28">
      <c r="A21" s="389"/>
      <c r="B21" s="451"/>
      <c r="C21" s="455">
        <v>6</v>
      </c>
      <c r="D21" s="456" t="str">
        <f>VLOOKUP(6,数据表!A1:B26,2,0)</f>
        <v>舰装解析4h</v>
      </c>
      <c r="E21" s="456"/>
      <c r="F21" s="457" t="str">
        <f>IF(C21&gt;H14,"是","否")</f>
        <v>否</v>
      </c>
      <c r="G21" s="455">
        <v>19</v>
      </c>
      <c r="H21" s="456" t="str">
        <f>VLOOKUP(19,数据表!A1:B26,2,0)</f>
        <v>研究委托3h</v>
      </c>
      <c r="I21" s="456"/>
      <c r="J21" s="457" t="str">
        <f>IF(G21&gt;H14,"是","否")</f>
        <v>是</v>
      </c>
      <c r="K21" s="519"/>
      <c r="L21" s="455">
        <v>6</v>
      </c>
      <c r="M21" s="456" t="str">
        <f>VLOOKUP(6,数据表!C1:D26,2,0)</f>
        <v>舰装解析4h</v>
      </c>
      <c r="N21" s="456"/>
      <c r="O21" s="457" t="str">
        <f>IF(L21&gt;M14,"是","否")</f>
        <v>否</v>
      </c>
      <c r="P21" s="455">
        <v>19</v>
      </c>
      <c r="Q21" s="456" t="str">
        <f>VLOOKUP(19,数据表!C1:D26,2,0)</f>
        <v>舰装解析1h</v>
      </c>
      <c r="R21" s="456"/>
      <c r="S21" s="457" t="str">
        <f>IF(P21&gt;M14,"是","否")</f>
        <v>是</v>
      </c>
      <c r="T21" s="306"/>
      <c r="U21" s="306"/>
      <c r="V21" s="306"/>
      <c r="W21" s="306"/>
      <c r="X21" s="389"/>
      <c r="Y21" s="389"/>
      <c r="Z21" s="389"/>
      <c r="AA21" s="389"/>
      <c r="AB21" s="389"/>
    </row>
    <row r="22" ht="15.6" spans="1:28">
      <c r="A22" s="389"/>
      <c r="B22" s="451"/>
      <c r="C22" s="455">
        <v>7</v>
      </c>
      <c r="D22" s="456" t="str">
        <f>VLOOKUP(7,数据表!A1:B26,2,0)</f>
        <v>舰装解析2h</v>
      </c>
      <c r="E22" s="456"/>
      <c r="F22" s="457" t="str">
        <f>IF(C22&gt;H14,"是","否")</f>
        <v>否</v>
      </c>
      <c r="G22" s="455">
        <v>20</v>
      </c>
      <c r="H22" s="456" t="str">
        <f>VLOOKUP(20,数据表!A1:B26,2,0)</f>
        <v>金船定向5h</v>
      </c>
      <c r="I22" s="456"/>
      <c r="J22" s="457" t="str">
        <f>IF(G22&gt;H14,"是","否")</f>
        <v>是</v>
      </c>
      <c r="K22" s="519"/>
      <c r="L22" s="455">
        <v>7</v>
      </c>
      <c r="M22" s="456" t="str">
        <f>VLOOKUP(7,数据表!C1:D26,2,0)</f>
        <v>资金募集4h</v>
      </c>
      <c r="N22" s="456"/>
      <c r="O22" s="457" t="str">
        <f>IF(L22&gt;M14,"是","否")</f>
        <v>否</v>
      </c>
      <c r="P22" s="455">
        <v>20</v>
      </c>
      <c r="Q22" s="456" t="str">
        <f>VLOOKUP(20,数据表!C1:D26,2,0)</f>
        <v>试验品募集2h紫</v>
      </c>
      <c r="R22" s="456"/>
      <c r="S22" s="457" t="str">
        <f>IF(P22&gt;M14,"是","否")</f>
        <v>是</v>
      </c>
      <c r="T22" s="306"/>
      <c r="U22" s="306"/>
      <c r="V22" s="306"/>
      <c r="W22" s="306"/>
      <c r="X22" s="389"/>
      <c r="Y22" s="389"/>
      <c r="Z22" s="389"/>
      <c r="AA22" s="389"/>
      <c r="AB22" s="389"/>
    </row>
    <row r="23" ht="15.6" spans="1:28">
      <c r="A23" s="389"/>
      <c r="B23" s="451"/>
      <c r="C23" s="455">
        <v>8</v>
      </c>
      <c r="D23" s="456" t="str">
        <f>VLOOKUP(8,数据表!A1:B26,2,0)</f>
        <v>资金募集1.5h</v>
      </c>
      <c r="E23" s="456"/>
      <c r="F23" s="457" t="str">
        <f>IF(C23&gt;H14,"是","否")</f>
        <v>否</v>
      </c>
      <c r="G23" s="455">
        <v>21</v>
      </c>
      <c r="H23" s="456" t="str">
        <f>VLOOKUP(21,数据表!A1:B26,2,0)</f>
        <v>金船定向8h</v>
      </c>
      <c r="I23" s="456"/>
      <c r="J23" s="457" t="str">
        <f>IF(G23&gt;H14,"是","否")</f>
        <v>是</v>
      </c>
      <c r="K23" s="519"/>
      <c r="L23" s="455">
        <v>8</v>
      </c>
      <c r="M23" s="456" t="str">
        <f>VLOOKUP(8,数据表!C1:D26,2,0)</f>
        <v>金船定向0.5h</v>
      </c>
      <c r="N23" s="456"/>
      <c r="O23" s="457" t="str">
        <f>IF(L23&gt;M14,"是","否")</f>
        <v>否</v>
      </c>
      <c r="P23" s="455">
        <v>21</v>
      </c>
      <c r="Q23" s="456" t="str">
        <f>VLOOKUP(21,数据表!C1:D26,2,0)</f>
        <v>试验品募集2h蓝</v>
      </c>
      <c r="R23" s="456"/>
      <c r="S23" s="457" t="str">
        <f>IF(P23&gt;M14,"是","否")</f>
        <v>是</v>
      </c>
      <c r="T23" s="306"/>
      <c r="U23" s="306"/>
      <c r="V23" s="306"/>
      <c r="W23" s="306"/>
      <c r="X23" s="389"/>
      <c r="Y23" s="389"/>
      <c r="Z23" s="389"/>
      <c r="AA23" s="389"/>
      <c r="AB23" s="389"/>
    </row>
    <row r="24" ht="15.6" spans="1:28">
      <c r="A24" s="389"/>
      <c r="B24" s="451"/>
      <c r="C24" s="455">
        <v>9</v>
      </c>
      <c r="D24" s="456" t="str">
        <f>VLOOKUP(9,数据表!A1:B26,2,0)</f>
        <v>资金募集4h</v>
      </c>
      <c r="E24" s="456"/>
      <c r="F24" s="457" t="str">
        <f>IF(C24&gt;H14,"是","否")</f>
        <v>否</v>
      </c>
      <c r="G24" s="455">
        <v>22</v>
      </c>
      <c r="H24" s="456" t="str">
        <f>VLOOKUP(22,数据表!A1:B26,2,0)</f>
        <v>魔方解析2h</v>
      </c>
      <c r="I24" s="456"/>
      <c r="J24" s="457" t="str">
        <f>IF(G24&gt;H14,"是","否")</f>
        <v>是</v>
      </c>
      <c r="K24" s="519"/>
      <c r="L24" s="455">
        <v>9</v>
      </c>
      <c r="M24" s="456" t="str">
        <f>VLOOKUP(9,数据表!C1:D26,2,0)</f>
        <v>金数据收集4h</v>
      </c>
      <c r="N24" s="456"/>
      <c r="O24" s="457" t="str">
        <f>IF(L24&gt;M14,"是","否")</f>
        <v>否</v>
      </c>
      <c r="P24" s="455">
        <v>22</v>
      </c>
      <c r="Q24" s="456" t="str">
        <f>VLOOKUP(22,数据表!C1:D26,2,0)</f>
        <v>研究委托3h</v>
      </c>
      <c r="R24" s="456"/>
      <c r="S24" s="457" t="str">
        <f>IF(P24&gt;M14,"是","否")</f>
        <v>是</v>
      </c>
      <c r="T24" s="306"/>
      <c r="U24" s="306"/>
      <c r="V24" s="306"/>
      <c r="W24" s="306"/>
      <c r="X24" s="389"/>
      <c r="Y24" s="389"/>
      <c r="Z24" s="389"/>
      <c r="AA24" s="389"/>
      <c r="AB24" s="389"/>
    </row>
    <row r="25" ht="15.6" spans="1:28">
      <c r="A25" s="389"/>
      <c r="B25" s="451"/>
      <c r="C25" s="455">
        <v>10</v>
      </c>
      <c r="D25" s="456" t="str">
        <f>VLOOKUP(10,数据表!A1:B26,2,0)</f>
        <v>金船定向2.5h</v>
      </c>
      <c r="E25" s="456"/>
      <c r="F25" s="457" t="str">
        <f>IF(C25&gt;H14,"是","否")</f>
        <v>否</v>
      </c>
      <c r="G25" s="455">
        <v>23</v>
      </c>
      <c r="H25" s="456" t="str">
        <f>VLOOKUP(23,数据表!A1:B26,2,0)</f>
        <v>基础研究6h</v>
      </c>
      <c r="I25" s="456"/>
      <c r="J25" s="457" t="str">
        <f>IF(G25&gt;H14,"是","否")</f>
        <v>是</v>
      </c>
      <c r="K25" s="519"/>
      <c r="L25" s="455">
        <v>10</v>
      </c>
      <c r="M25" s="456" t="str">
        <f>VLOOKUP(10,数据表!C1:D26,2,0)</f>
        <v>彩船定向2.5h</v>
      </c>
      <c r="N25" s="456"/>
      <c r="O25" s="457" t="str">
        <f>IF(L25&gt;M14,"是","否")</f>
        <v>否</v>
      </c>
      <c r="P25" s="455">
        <v>23</v>
      </c>
      <c r="Q25" s="456" t="str">
        <f>VLOOKUP(23,数据表!C1:D26,2,0)</f>
        <v>魔方解析1h</v>
      </c>
      <c r="R25" s="456"/>
      <c r="S25" s="457" t="str">
        <f>IF(P25&gt;M14,"是","否")</f>
        <v>是</v>
      </c>
      <c r="T25" s="306"/>
      <c r="U25" s="306"/>
      <c r="V25" s="306"/>
      <c r="W25" s="306"/>
      <c r="X25" s="389"/>
      <c r="Y25" s="389"/>
      <c r="Z25" s="389"/>
      <c r="AA25" s="389"/>
      <c r="AB25" s="389"/>
    </row>
    <row r="26" ht="15.6" spans="1:28">
      <c r="A26" s="389"/>
      <c r="B26" s="451"/>
      <c r="C26" s="455">
        <v>11</v>
      </c>
      <c r="D26" s="456" t="str">
        <f>VLOOKUP(11,数据表!A1:B26,2,0)</f>
        <v>彩船定向5h</v>
      </c>
      <c r="E26" s="456"/>
      <c r="F26" s="457" t="str">
        <f>IF(C26&gt;H14,"是","否")</f>
        <v>否</v>
      </c>
      <c r="G26" s="455">
        <v>24</v>
      </c>
      <c r="H26" s="456" t="str">
        <f>VLOOKUP(24,数据表!A1:B26,2,0)</f>
        <v>基础研究8h</v>
      </c>
      <c r="I26" s="456"/>
      <c r="J26" s="457" t="str">
        <f>IF(G26&gt;H14,"是","否")</f>
        <v>是</v>
      </c>
      <c r="K26" s="519"/>
      <c r="L26" s="455">
        <v>11</v>
      </c>
      <c r="M26" s="456" t="str">
        <f>VLOOKUP(11,数据表!C1:D26,2,0)</f>
        <v>金船定向5h</v>
      </c>
      <c r="N26" s="456"/>
      <c r="O26" s="457" t="str">
        <f>IF(L26&gt;M14,"是","否")</f>
        <v>否</v>
      </c>
      <c r="P26" s="455">
        <v>24</v>
      </c>
      <c r="Q26" s="456" t="str">
        <f>VLOOKUP(24,数据表!C1:D26,2,0)</f>
        <v>基础研究12h</v>
      </c>
      <c r="R26" s="456"/>
      <c r="S26" s="457" t="str">
        <f>IF(P26&gt;M14,"是","否")</f>
        <v>是</v>
      </c>
      <c r="T26" s="306"/>
      <c r="U26" s="306"/>
      <c r="V26" s="306"/>
      <c r="W26" s="306"/>
      <c r="X26" s="389"/>
      <c r="Y26" s="389"/>
      <c r="Z26" s="389"/>
      <c r="AA26" s="389"/>
      <c r="AB26" s="389"/>
    </row>
    <row r="27" ht="15.6" spans="1:28">
      <c r="A27" s="389"/>
      <c r="B27" s="451"/>
      <c r="C27" s="455">
        <v>12</v>
      </c>
      <c r="D27" s="456" t="str">
        <f>VLOOKUP(12,数据表!A1:B26,2,0)</f>
        <v>资金募集2.5h</v>
      </c>
      <c r="E27" s="456"/>
      <c r="F27" s="457" t="str">
        <f>IF(C27&gt;H14,"是","否")</f>
        <v>是</v>
      </c>
      <c r="G27" s="455">
        <v>25</v>
      </c>
      <c r="H27" s="456" t="str">
        <f>VLOOKUP(25,数据表!A1:B26,2,0)</f>
        <v>魔方解析4h</v>
      </c>
      <c r="I27" s="456"/>
      <c r="J27" s="457" t="str">
        <f>IF(G27&gt;H14,"是","否")</f>
        <v>是</v>
      </c>
      <c r="K27" s="519"/>
      <c r="L27" s="455">
        <v>12</v>
      </c>
      <c r="M27" s="456" t="str">
        <f>VLOOKUP(12,数据表!C1:D26,2,0)</f>
        <v>基础研究8h</v>
      </c>
      <c r="N27" s="456"/>
      <c r="O27" s="457" t="str">
        <f>IF(L27&gt;M14,"是","否")</f>
        <v>否</v>
      </c>
      <c r="P27" s="455">
        <v>25</v>
      </c>
      <c r="Q27" s="456" t="str">
        <f>VLOOKUP(25,数据表!C1:D26,2,0)</f>
        <v>魔方解析2h</v>
      </c>
      <c r="R27" s="456"/>
      <c r="S27" s="457" t="str">
        <f>IF(P27&gt;M14,"是","否")</f>
        <v>是</v>
      </c>
      <c r="T27" s="306"/>
      <c r="U27" s="306"/>
      <c r="V27" s="306"/>
      <c r="W27" s="306"/>
      <c r="X27" s="389"/>
      <c r="Y27" s="389"/>
      <c r="Z27" s="389"/>
      <c r="AA27" s="389"/>
      <c r="AB27" s="389"/>
    </row>
    <row r="28" ht="16.35" spans="1:28">
      <c r="A28" s="389"/>
      <c r="B28" s="458"/>
      <c r="C28" s="459">
        <v>13</v>
      </c>
      <c r="D28" s="460" t="str">
        <f>VLOOKUP(13,数据表!A1:B26,2,0)</f>
        <v>心智补全0.5h</v>
      </c>
      <c r="E28" s="460"/>
      <c r="F28" s="461" t="str">
        <f>IF(C28&gt;H14,"是","否")</f>
        <v>是</v>
      </c>
      <c r="G28" s="459">
        <v>26</v>
      </c>
      <c r="H28" s="460" t="str">
        <f>VLOOKUP(26,数据表!A1:B26,2,0)</f>
        <v>基础研究12h</v>
      </c>
      <c r="I28" s="460"/>
      <c r="J28" s="461" t="str">
        <f>IF(G28&gt;H14,"是","否")</f>
        <v>是</v>
      </c>
      <c r="K28" s="520"/>
      <c r="L28" s="459">
        <v>13</v>
      </c>
      <c r="M28" s="460" t="str">
        <f>VLOOKUP(13,数据表!C1:D26,2,0)</f>
        <v>舰装解析2h</v>
      </c>
      <c r="N28" s="460"/>
      <c r="O28" s="461" t="str">
        <f>IF(L28&gt;M14,"是","否")</f>
        <v>否</v>
      </c>
      <c r="P28" s="459">
        <v>26</v>
      </c>
      <c r="Q28" s="460" t="str">
        <f>VLOOKUP(26,数据表!C1:D26,2,0)</f>
        <v>魔方解析4h</v>
      </c>
      <c r="R28" s="460"/>
      <c r="S28" s="461" t="str">
        <f>IF(P28&gt;M14,"是","否")</f>
        <v>是</v>
      </c>
      <c r="T28" s="306"/>
      <c r="U28" s="306"/>
      <c r="V28" s="306"/>
      <c r="W28" s="306"/>
      <c r="X28" s="389"/>
      <c r="Y28" s="389"/>
      <c r="Z28" s="389"/>
      <c r="AA28" s="389"/>
      <c r="AB28" s="389"/>
    </row>
    <row r="29" ht="15.6" spans="1:28">
      <c r="A29" s="389"/>
      <c r="B29" s="462" t="s">
        <v>37</v>
      </c>
      <c r="C29" s="463"/>
      <c r="D29" s="464">
        <f>I13</f>
        <v>16</v>
      </c>
      <c r="E29" s="465"/>
      <c r="F29" s="466" t="s">
        <v>38</v>
      </c>
      <c r="G29" s="467"/>
      <c r="H29" s="468">
        <f>白天模拟!S60+夜晚模拟!S60+白天模拟!AG29+夜晚模拟!AG29</f>
        <v>0.544269598831085</v>
      </c>
      <c r="I29" s="521"/>
      <c r="J29" s="467" t="s">
        <v>39</v>
      </c>
      <c r="K29" s="522"/>
      <c r="L29" s="523">
        <f>H29*365/50</f>
        <v>3.97316807146692</v>
      </c>
      <c r="M29" s="524" t="s">
        <v>40</v>
      </c>
      <c r="N29" s="525" t="str">
        <f>IF((L29-TRUNC(L29,0))&gt;0.8,"考虑拉高装备倾向多一架飞机吗","")</f>
        <v>考虑拉高装备倾向多一架飞机吗</v>
      </c>
      <c r="O29" s="526"/>
      <c r="P29" s="527"/>
      <c r="Q29" s="389"/>
      <c r="R29" s="306"/>
      <c r="S29" s="306"/>
      <c r="T29" s="306"/>
      <c r="U29" s="306"/>
      <c r="V29" s="306"/>
      <c r="W29" s="306"/>
      <c r="X29" s="389"/>
      <c r="Y29" s="389"/>
      <c r="Z29" s="389"/>
      <c r="AA29" s="389"/>
      <c r="AB29" s="389"/>
    </row>
    <row r="30" ht="15.6" spans="1:28">
      <c r="A30" s="389"/>
      <c r="B30" s="469" t="s">
        <v>41</v>
      </c>
      <c r="C30" s="470"/>
      <c r="D30" s="471">
        <f>1+白天模拟!H73</f>
        <v>7.51098491961918</v>
      </c>
      <c r="E30" s="472"/>
      <c r="F30" s="473" t="s">
        <v>42</v>
      </c>
      <c r="G30" s="474"/>
      <c r="H30" s="475">
        <f>白天模拟!R60+夜晚模拟!R60+白天模拟!AF29+夜晚模拟!AF29</f>
        <v>6.67213172526098</v>
      </c>
      <c r="I30" s="528"/>
      <c r="J30" s="474" t="str">
        <f>IF(H30*365&lt;1100,"彩船年产量：","彩船全满耗时")</f>
        <v>彩船全满耗时</v>
      </c>
      <c r="K30" s="470"/>
      <c r="L30" s="529">
        <f>IF(H30*365&lt;(1100-G8*513),H30*365,(1026-G8*513)/H30)</f>
        <v>153.773942459127</v>
      </c>
      <c r="M30" s="530" t="str">
        <f>IF(H30*365&lt;1100,"张","天")</f>
        <v>天</v>
      </c>
      <c r="N30" s="531" t="str">
        <f>IF(G8=2,"彩船已毕业",IF(H30*365&gt;=(1100-G8*513),"因定向优化实际耗时更少",IF(L30&gt;(1026-G8*513),"彩船可以全满破",IF(L30&gt;(820-G8*513),"彩船需要通用彩图满破","彩船无法全满破"))))</f>
        <v>因定向优化实际耗时更少</v>
      </c>
      <c r="O30" s="532"/>
      <c r="P30" s="533"/>
      <c r="Q30" s="389"/>
      <c r="R30" s="306"/>
      <c r="S30" s="306"/>
      <c r="T30" s="306"/>
      <c r="U30" s="306"/>
      <c r="V30" s="306"/>
      <c r="W30" s="306"/>
      <c r="X30" s="389"/>
      <c r="Y30" s="389"/>
      <c r="Z30" s="389"/>
      <c r="AA30" s="389"/>
      <c r="AB30" s="389"/>
    </row>
    <row r="31" ht="16.35" spans="1:28">
      <c r="A31" s="389"/>
      <c r="B31" s="469" t="s">
        <v>43</v>
      </c>
      <c r="C31" s="470"/>
      <c r="D31" s="476">
        <f>白天模拟!AA60+夜晚模拟!Z60</f>
        <v>0.496443156225732</v>
      </c>
      <c r="E31" s="164"/>
      <c r="F31" s="469" t="s">
        <v>44</v>
      </c>
      <c r="G31" s="470"/>
      <c r="H31" s="477">
        <f>白天模拟!Q60+夜晚模拟!Q60+白天模拟!AE29+夜晚模拟!AE29</f>
        <v>1.85102181835946</v>
      </c>
      <c r="I31" s="534"/>
      <c r="J31" s="535" t="str">
        <f>IF(H31*365&lt;1100,"金船年产量：","金船全满耗时")</f>
        <v>金船年产量：</v>
      </c>
      <c r="K31" s="479"/>
      <c r="L31" s="536">
        <f>IF(H31*365&lt;(1100-D8*343),H31*365,(1029-D8*343)/H31)</f>
        <v>0</v>
      </c>
      <c r="M31" s="537" t="str">
        <f>IF(H31*365&lt;(1100-D8*343),"张","天")</f>
        <v>天</v>
      </c>
      <c r="N31" s="538" t="str">
        <f>IF(D8=3,"金船已毕业",IF(H31*365&gt;=(1100-D8*343),"只算满破图纸需要攒的时间",IF(L31&gt;(1029-D8*343),"金船可以全满破",IF(L31&gt;(579-D8*343),"金船需要通用金图满破","金船无法全满破"))))</f>
        <v>金船已毕业</v>
      </c>
      <c r="O31" s="539"/>
      <c r="P31" s="540"/>
      <c r="Q31" s="578" t="str">
        <f>IF(M33&gt;0.45,"过滤失败概率太大时预测结果不准","")</f>
        <v/>
      </c>
      <c r="R31" s="578"/>
      <c r="S31" s="578"/>
      <c r="T31" s="306"/>
      <c r="U31" s="306"/>
      <c r="V31" s="306"/>
      <c r="W31" s="306"/>
      <c r="X31" s="389"/>
      <c r="Y31" s="389"/>
      <c r="Z31" s="389"/>
      <c r="AA31" s="389"/>
      <c r="AB31" s="389"/>
    </row>
    <row r="32" ht="16.35" spans="1:28">
      <c r="A32" s="389"/>
      <c r="B32" s="478" t="s">
        <v>45</v>
      </c>
      <c r="C32" s="479"/>
      <c r="D32" s="480">
        <f>白天模拟!Z60+夜晚模拟!Y60</f>
        <v>18256.312054656</v>
      </c>
      <c r="E32" s="481"/>
      <c r="F32" s="482" t="s">
        <v>46</v>
      </c>
      <c r="G32" s="483"/>
      <c r="H32" s="484">
        <f>白天模拟!U60+夜晚模拟!U60</f>
        <v>0</v>
      </c>
      <c r="I32" s="541"/>
      <c r="J32" s="542" t="s">
        <v>47</v>
      </c>
      <c r="K32" s="543"/>
      <c r="L32" s="544"/>
      <c r="M32" s="545">
        <f>白天模拟!K74</f>
        <v>0.500993686457142</v>
      </c>
      <c r="N32" s="546" t="str">
        <f>VLOOKUP(1,数据表!C38:D44,2,0)</f>
        <v>策略偏保守</v>
      </c>
      <c r="O32" s="546"/>
      <c r="P32" s="547"/>
      <c r="Q32" s="578"/>
      <c r="R32" s="578"/>
      <c r="S32" s="578"/>
      <c r="T32" s="578"/>
      <c r="U32" s="306"/>
      <c r="V32" s="306"/>
      <c r="W32" s="306"/>
      <c r="X32" s="389"/>
      <c r="Y32" s="389"/>
      <c r="Z32" s="389"/>
      <c r="AA32" s="389"/>
      <c r="AB32" s="389"/>
    </row>
    <row r="33" ht="16.35" spans="1:28">
      <c r="A33" s="389"/>
      <c r="B33" s="485" t="s">
        <v>48</v>
      </c>
      <c r="C33" s="486"/>
      <c r="D33" s="487">
        <f>白天模拟!H75/100</f>
        <v>0.0971873266040224</v>
      </c>
      <c r="E33" s="488"/>
      <c r="F33" s="489" t="s">
        <v>49</v>
      </c>
      <c r="G33" s="489"/>
      <c r="H33" s="490">
        <f>白天模拟!H74/100</f>
        <v>0.433666540242152</v>
      </c>
      <c r="I33" s="490"/>
      <c r="J33" s="548" t="s">
        <v>50</v>
      </c>
      <c r="K33" s="548"/>
      <c r="L33" s="549"/>
      <c r="M33" s="550">
        <f>白天模拟!I76/100</f>
        <v>0.150958298366832</v>
      </c>
      <c r="N33" s="551"/>
      <c r="O33" s="551"/>
      <c r="P33" s="552"/>
      <c r="Q33" s="578"/>
      <c r="R33" s="578"/>
      <c r="S33" s="578"/>
      <c r="T33" s="578"/>
      <c r="U33" s="306"/>
      <c r="V33" s="306"/>
      <c r="W33" s="306"/>
      <c r="X33" s="389"/>
      <c r="Y33" s="389"/>
      <c r="Z33" s="389"/>
      <c r="AA33" s="389"/>
      <c r="AB33" s="389"/>
    </row>
    <row r="34" ht="23" customHeight="1" spans="1:28">
      <c r="A34" s="389"/>
      <c r="B34" s="491" t="s">
        <v>51</v>
      </c>
      <c r="C34" s="492"/>
      <c r="D34" s="492"/>
      <c r="E34" s="492"/>
      <c r="F34" s="492"/>
      <c r="G34" s="492"/>
      <c r="H34" s="492"/>
      <c r="I34" s="491" t="s">
        <v>52</v>
      </c>
      <c r="J34" s="553"/>
      <c r="K34" s="553"/>
      <c r="L34" s="553"/>
      <c r="M34" s="553"/>
      <c r="N34" s="554"/>
      <c r="O34" s="554"/>
      <c r="P34" s="555"/>
      <c r="Q34" s="579"/>
      <c r="R34" s="579"/>
      <c r="S34" s="579"/>
      <c r="T34" s="579"/>
      <c r="U34" s="389"/>
      <c r="V34" s="389"/>
      <c r="W34" s="389"/>
      <c r="X34" s="389"/>
      <c r="Y34" s="389"/>
      <c r="Z34" s="389"/>
      <c r="AA34" s="389"/>
      <c r="AB34" s="389"/>
    </row>
    <row r="35" ht="15.6" spans="1:28">
      <c r="A35" s="399"/>
      <c r="B35" s="493"/>
      <c r="C35" s="399"/>
      <c r="D35" s="399"/>
      <c r="E35" s="399"/>
      <c r="F35" s="399"/>
      <c r="G35" s="399"/>
      <c r="H35" s="399"/>
      <c r="I35" s="493"/>
      <c r="J35" s="399"/>
      <c r="K35" s="399"/>
      <c r="L35" s="399"/>
      <c r="M35" s="399"/>
      <c r="N35" s="399"/>
      <c r="O35" s="399"/>
      <c r="P35" s="501"/>
      <c r="Q35" s="389"/>
      <c r="R35" s="389"/>
      <c r="S35" s="389"/>
      <c r="T35" s="389"/>
      <c r="U35" s="389"/>
      <c r="V35" s="389"/>
      <c r="W35" s="389"/>
      <c r="X35" s="389"/>
      <c r="Y35" s="389"/>
      <c r="Z35" s="389"/>
      <c r="AA35" s="389"/>
      <c r="AB35" s="389"/>
    </row>
    <row r="36" ht="15.6" spans="1:28">
      <c r="A36" s="399"/>
      <c r="B36" s="493"/>
      <c r="C36" s="399"/>
      <c r="D36" s="399"/>
      <c r="E36" s="399"/>
      <c r="F36" s="399"/>
      <c r="G36" s="399"/>
      <c r="H36" s="399"/>
      <c r="I36" s="493"/>
      <c r="J36" s="399"/>
      <c r="K36" s="399"/>
      <c r="L36" s="399"/>
      <c r="M36" s="399"/>
      <c r="N36" s="399"/>
      <c r="O36" s="399"/>
      <c r="P36" s="501"/>
      <c r="Q36" s="389"/>
      <c r="R36" s="389"/>
      <c r="S36" s="389"/>
      <c r="T36" s="389"/>
      <c r="U36" s="389"/>
      <c r="V36" s="389"/>
      <c r="W36" s="389"/>
      <c r="X36" s="389"/>
      <c r="Y36" s="389"/>
      <c r="Z36" s="389"/>
      <c r="AA36" s="389"/>
      <c r="AB36" s="389"/>
    </row>
    <row r="37" ht="15.6" spans="1:28">
      <c r="A37" s="399"/>
      <c r="B37" s="493"/>
      <c r="C37" s="399"/>
      <c r="D37" s="399"/>
      <c r="E37" s="399"/>
      <c r="F37" s="399"/>
      <c r="G37" s="399"/>
      <c r="H37" s="399"/>
      <c r="I37" s="493"/>
      <c r="J37" s="399"/>
      <c r="K37" s="399"/>
      <c r="L37" s="399"/>
      <c r="M37" s="399"/>
      <c r="N37" s="399"/>
      <c r="O37" s="399"/>
      <c r="P37" s="501"/>
      <c r="Q37" s="389"/>
      <c r="R37" s="389"/>
      <c r="S37" s="389"/>
      <c r="T37" s="389"/>
      <c r="U37" s="389"/>
      <c r="V37" s="389"/>
      <c r="W37" s="389"/>
      <c r="X37" s="389"/>
      <c r="Y37" s="389"/>
      <c r="Z37" s="389"/>
      <c r="AA37" s="389"/>
      <c r="AB37" s="389"/>
    </row>
    <row r="38" ht="15.6" spans="1:28">
      <c r="A38" s="399"/>
      <c r="B38" s="493"/>
      <c r="C38" s="399"/>
      <c r="D38" s="399"/>
      <c r="E38" s="399"/>
      <c r="F38" s="399"/>
      <c r="G38" s="399"/>
      <c r="H38" s="399"/>
      <c r="I38" s="493"/>
      <c r="J38" s="399"/>
      <c r="K38" s="399"/>
      <c r="L38" s="399"/>
      <c r="M38" s="399"/>
      <c r="N38" s="399"/>
      <c r="O38" s="399"/>
      <c r="P38" s="501"/>
      <c r="Q38" s="389"/>
      <c r="R38" s="389"/>
      <c r="S38" s="389"/>
      <c r="T38" s="389"/>
      <c r="U38" s="389"/>
      <c r="V38" s="389"/>
      <c r="W38" s="389"/>
      <c r="X38" s="389"/>
      <c r="Y38" s="389"/>
      <c r="Z38" s="389"/>
      <c r="AA38" s="389"/>
      <c r="AB38" s="389"/>
    </row>
    <row r="39" ht="15.6" spans="1:28">
      <c r="A39" s="399"/>
      <c r="B39" s="493"/>
      <c r="C39" s="399"/>
      <c r="D39" s="399"/>
      <c r="E39" s="399"/>
      <c r="F39" s="399"/>
      <c r="G39" s="399"/>
      <c r="H39" s="399"/>
      <c r="I39" s="493"/>
      <c r="J39" s="399"/>
      <c r="K39" s="399"/>
      <c r="L39" s="399"/>
      <c r="M39" s="399"/>
      <c r="N39" s="399"/>
      <c r="O39" s="399"/>
      <c r="P39" s="501"/>
      <c r="Q39" s="389"/>
      <c r="R39" s="389"/>
      <c r="S39" s="389"/>
      <c r="T39" s="389"/>
      <c r="U39" s="389"/>
      <c r="V39" s="389"/>
      <c r="W39" s="389"/>
      <c r="X39" s="389"/>
      <c r="Y39" s="389"/>
      <c r="Z39" s="389"/>
      <c r="AA39" s="389"/>
      <c r="AB39" s="389"/>
    </row>
    <row r="40" ht="15.6" spans="1:28">
      <c r="A40" s="399"/>
      <c r="B40" s="493"/>
      <c r="C40" s="399"/>
      <c r="D40" s="399"/>
      <c r="E40" s="399"/>
      <c r="F40" s="399"/>
      <c r="G40" s="399"/>
      <c r="H40" s="399"/>
      <c r="I40" s="493"/>
      <c r="J40" s="399"/>
      <c r="K40" s="399"/>
      <c r="L40" s="399"/>
      <c r="M40" s="399"/>
      <c r="N40" s="399"/>
      <c r="O40" s="399"/>
      <c r="P40" s="501"/>
      <c r="Q40" s="389"/>
      <c r="R40" s="389"/>
      <c r="S40" s="389"/>
      <c r="T40" s="389"/>
      <c r="U40" s="389"/>
      <c r="V40" s="389"/>
      <c r="W40" s="389"/>
      <c r="X40" s="389"/>
      <c r="Y40" s="389"/>
      <c r="Z40" s="389"/>
      <c r="AA40" s="389"/>
      <c r="AB40" s="389"/>
    </row>
    <row r="41" ht="15.6" spans="1:28">
      <c r="A41" s="399"/>
      <c r="B41" s="493"/>
      <c r="C41" s="399"/>
      <c r="D41" s="399"/>
      <c r="E41" s="399"/>
      <c r="F41" s="399"/>
      <c r="G41" s="399"/>
      <c r="H41" s="399"/>
      <c r="I41" s="493"/>
      <c r="J41" s="399"/>
      <c r="K41" s="399"/>
      <c r="L41" s="399"/>
      <c r="M41" s="399"/>
      <c r="N41" s="399"/>
      <c r="O41" s="399"/>
      <c r="P41" s="501"/>
      <c r="Q41" s="389"/>
      <c r="R41" s="389"/>
      <c r="S41" s="389"/>
      <c r="T41" s="389"/>
      <c r="U41" s="389"/>
      <c r="V41" s="389"/>
      <c r="W41" s="389"/>
      <c r="X41" s="389"/>
      <c r="Y41" s="389"/>
      <c r="Z41" s="389"/>
      <c r="AA41" s="389"/>
      <c r="AB41" s="389"/>
    </row>
    <row r="42" ht="15.6" spans="1:28">
      <c r="A42" s="399"/>
      <c r="B42" s="493"/>
      <c r="C42" s="399"/>
      <c r="D42" s="399"/>
      <c r="E42" s="399"/>
      <c r="F42" s="399"/>
      <c r="G42" s="399"/>
      <c r="H42" s="399"/>
      <c r="I42" s="493"/>
      <c r="J42" s="399"/>
      <c r="K42" s="399"/>
      <c r="L42" s="399"/>
      <c r="M42" s="399"/>
      <c r="N42" s="399"/>
      <c r="O42" s="399"/>
      <c r="P42" s="501"/>
      <c r="Q42" s="389"/>
      <c r="R42" s="389"/>
      <c r="S42" s="389"/>
      <c r="T42" s="389"/>
      <c r="U42" s="389"/>
      <c r="V42" s="389"/>
      <c r="W42" s="389"/>
      <c r="X42" s="389"/>
      <c r="Y42" s="389"/>
      <c r="Z42" s="389"/>
      <c r="AA42" s="389"/>
      <c r="AB42" s="389"/>
    </row>
    <row r="43" ht="15.6" spans="1:28">
      <c r="A43" s="399"/>
      <c r="B43" s="493"/>
      <c r="C43" s="399"/>
      <c r="D43" s="399"/>
      <c r="E43" s="399"/>
      <c r="F43" s="399"/>
      <c r="G43" s="399"/>
      <c r="H43" s="399"/>
      <c r="I43" s="493"/>
      <c r="J43" s="399"/>
      <c r="K43" s="399"/>
      <c r="L43" s="399"/>
      <c r="M43" s="399"/>
      <c r="N43" s="399"/>
      <c r="O43" s="399"/>
      <c r="P43" s="501"/>
      <c r="Q43" s="389"/>
      <c r="R43" s="389"/>
      <c r="S43" s="389"/>
      <c r="T43" s="389"/>
      <c r="U43" s="389"/>
      <c r="V43" s="389"/>
      <c r="W43" s="389"/>
      <c r="X43" s="389"/>
      <c r="Y43" s="389"/>
      <c r="Z43" s="389"/>
      <c r="AA43" s="389"/>
      <c r="AB43" s="389"/>
    </row>
    <row r="44" ht="15.6" spans="1:28">
      <c r="A44" s="399"/>
      <c r="B44" s="493"/>
      <c r="C44" s="399"/>
      <c r="D44" s="399"/>
      <c r="E44" s="399"/>
      <c r="F44" s="399"/>
      <c r="G44" s="399"/>
      <c r="H44" s="399"/>
      <c r="I44" s="493"/>
      <c r="J44" s="399"/>
      <c r="K44" s="399"/>
      <c r="L44" s="399"/>
      <c r="M44" s="399"/>
      <c r="N44" s="399"/>
      <c r="O44" s="399"/>
      <c r="P44" s="501"/>
      <c r="Q44" s="389"/>
      <c r="R44" s="389"/>
      <c r="S44" s="389"/>
      <c r="T44" s="389"/>
      <c r="U44" s="389"/>
      <c r="V44" s="389"/>
      <c r="W44" s="389"/>
      <c r="X44" s="389"/>
      <c r="Y44" s="389"/>
      <c r="Z44" s="389"/>
      <c r="AA44" s="389"/>
      <c r="AB44" s="389"/>
    </row>
    <row r="45" ht="15.6" spans="1:28">
      <c r="A45" s="399"/>
      <c r="B45" s="493"/>
      <c r="C45" s="399"/>
      <c r="D45" s="399"/>
      <c r="E45" s="399"/>
      <c r="F45" s="399"/>
      <c r="G45" s="399"/>
      <c r="H45" s="399"/>
      <c r="I45" s="493"/>
      <c r="J45" s="399"/>
      <c r="K45" s="399"/>
      <c r="L45" s="399"/>
      <c r="M45" s="399"/>
      <c r="N45" s="399"/>
      <c r="O45" s="399"/>
      <c r="P45" s="501"/>
      <c r="Q45" s="389"/>
      <c r="R45" s="389"/>
      <c r="S45" s="389"/>
      <c r="T45" s="389"/>
      <c r="U45" s="389"/>
      <c r="V45" s="389"/>
      <c r="W45" s="389"/>
      <c r="X45" s="389"/>
      <c r="Y45" s="389"/>
      <c r="Z45" s="389"/>
      <c r="AA45" s="389"/>
      <c r="AB45" s="389"/>
    </row>
    <row r="46" ht="15.6" spans="1:28">
      <c r="A46" s="399"/>
      <c r="B46" s="493"/>
      <c r="C46" s="399"/>
      <c r="D46" s="399"/>
      <c r="E46" s="399"/>
      <c r="F46" s="399"/>
      <c r="G46" s="399"/>
      <c r="H46" s="399"/>
      <c r="I46" s="493"/>
      <c r="J46" s="399"/>
      <c r="K46" s="399"/>
      <c r="L46" s="399"/>
      <c r="M46" s="399"/>
      <c r="N46" s="399"/>
      <c r="O46" s="399"/>
      <c r="P46" s="501"/>
      <c r="Q46" s="389"/>
      <c r="R46" s="389"/>
      <c r="S46" s="389"/>
      <c r="T46" s="389"/>
      <c r="U46" s="389"/>
      <c r="V46" s="389"/>
      <c r="W46" s="389"/>
      <c r="X46" s="389"/>
      <c r="Y46" s="389"/>
      <c r="Z46" s="389"/>
      <c r="AA46" s="389"/>
      <c r="AB46" s="389"/>
    </row>
    <row r="47" ht="15.6" spans="1:28">
      <c r="A47" s="399"/>
      <c r="B47" s="493"/>
      <c r="C47" s="399"/>
      <c r="D47" s="399"/>
      <c r="E47" s="399"/>
      <c r="F47" s="399"/>
      <c r="G47" s="399"/>
      <c r="H47" s="399"/>
      <c r="I47" s="493"/>
      <c r="J47" s="399"/>
      <c r="K47" s="399"/>
      <c r="L47" s="399"/>
      <c r="M47" s="399"/>
      <c r="N47" s="399"/>
      <c r="O47" s="399"/>
      <c r="P47" s="501"/>
      <c r="Q47" s="389"/>
      <c r="R47" s="389"/>
      <c r="S47" s="389"/>
      <c r="T47" s="389"/>
      <c r="U47" s="389"/>
      <c r="V47" s="389"/>
      <c r="W47" s="389"/>
      <c r="X47" s="389"/>
      <c r="Y47" s="389"/>
      <c r="Z47" s="389"/>
      <c r="AA47" s="389"/>
      <c r="AB47" s="389"/>
    </row>
    <row r="48" ht="21" customHeight="1" spans="1:28">
      <c r="A48" s="399"/>
      <c r="B48" s="493"/>
      <c r="C48" s="399"/>
      <c r="D48" s="399"/>
      <c r="E48" s="399"/>
      <c r="F48" s="399"/>
      <c r="G48" s="399"/>
      <c r="H48" s="399"/>
      <c r="I48" s="493"/>
      <c r="J48" s="399"/>
      <c r="K48" s="399"/>
      <c r="L48" s="399"/>
      <c r="M48" s="399"/>
      <c r="N48" s="399"/>
      <c r="O48" s="399"/>
      <c r="P48" s="501"/>
      <c r="Q48" s="389"/>
      <c r="R48" s="389"/>
      <c r="S48" s="389"/>
      <c r="T48" s="389"/>
      <c r="U48" s="389"/>
      <c r="V48" s="389"/>
      <c r="W48" s="389"/>
      <c r="X48" s="389"/>
      <c r="Y48" s="389"/>
      <c r="Z48" s="389"/>
      <c r="AA48" s="389"/>
      <c r="AB48" s="389"/>
    </row>
    <row r="49" ht="16.35" spans="1:28">
      <c r="A49" s="389"/>
      <c r="B49" s="494"/>
      <c r="C49" s="495"/>
      <c r="D49" s="495"/>
      <c r="E49" s="495"/>
      <c r="F49" s="495"/>
      <c r="G49" s="495"/>
      <c r="H49" s="495"/>
      <c r="I49" s="494"/>
      <c r="J49" s="495"/>
      <c r="K49" s="495"/>
      <c r="L49" s="495"/>
      <c r="M49" s="495"/>
      <c r="N49" s="495"/>
      <c r="O49" s="495"/>
      <c r="P49" s="556"/>
      <c r="Q49" s="389"/>
      <c r="R49" s="389"/>
      <c r="S49" s="389"/>
      <c r="T49" s="389"/>
      <c r="U49" s="389"/>
      <c r="V49" s="389"/>
      <c r="W49" s="389"/>
      <c r="X49" s="389"/>
      <c r="Y49" s="389"/>
      <c r="Z49" s="389"/>
      <c r="AA49" s="389"/>
      <c r="AB49" s="389"/>
    </row>
    <row r="50" ht="17.4" spans="1:28">
      <c r="A50" s="389"/>
      <c r="B50" s="496" t="s">
        <v>53</v>
      </c>
      <c r="C50" s="308"/>
      <c r="D50" s="308"/>
      <c r="E50" s="308"/>
      <c r="F50" s="308"/>
      <c r="G50" s="308"/>
      <c r="H50" s="497"/>
      <c r="I50" s="496" t="s">
        <v>54</v>
      </c>
      <c r="J50" s="557"/>
      <c r="K50" s="557"/>
      <c r="L50" s="557"/>
      <c r="M50" s="557"/>
      <c r="N50" s="557"/>
      <c r="O50" s="557"/>
      <c r="P50" s="558"/>
      <c r="Q50" s="389"/>
      <c r="R50" s="389"/>
      <c r="S50" s="389"/>
      <c r="T50" s="389"/>
      <c r="U50" s="389"/>
      <c r="V50" s="389"/>
      <c r="W50" s="389"/>
      <c r="X50" s="389"/>
      <c r="Y50" s="389"/>
      <c r="Z50" s="389"/>
      <c r="AA50" s="389"/>
      <c r="AB50" s="389"/>
    </row>
    <row r="51" ht="15.6" spans="1:28">
      <c r="A51" s="389"/>
      <c r="B51" s="498"/>
      <c r="C51" s="306"/>
      <c r="D51" s="306"/>
      <c r="E51" s="306"/>
      <c r="F51" s="306"/>
      <c r="G51" s="306"/>
      <c r="H51" s="499"/>
      <c r="I51" s="498"/>
      <c r="J51" s="306"/>
      <c r="K51" s="306"/>
      <c r="L51" s="306"/>
      <c r="M51" s="306"/>
      <c r="N51" s="306"/>
      <c r="O51" s="306"/>
      <c r="P51" s="499"/>
      <c r="Q51" s="389"/>
      <c r="R51" s="389"/>
      <c r="S51" s="389"/>
      <c r="T51" s="389"/>
      <c r="U51" s="389"/>
      <c r="V51" s="389"/>
      <c r="W51" s="389"/>
      <c r="X51" s="389"/>
      <c r="Y51" s="389"/>
      <c r="Z51" s="389"/>
      <c r="AA51" s="389"/>
      <c r="AB51" s="389"/>
    </row>
    <row r="52" ht="15.6" spans="1:28">
      <c r="A52" s="389"/>
      <c r="B52" s="498"/>
      <c r="C52" s="306"/>
      <c r="D52" s="306"/>
      <c r="E52" s="306"/>
      <c r="F52" s="306"/>
      <c r="G52" s="306"/>
      <c r="H52" s="499"/>
      <c r="I52" s="498"/>
      <c r="J52" s="306"/>
      <c r="K52" s="306"/>
      <c r="L52" s="306"/>
      <c r="M52" s="306"/>
      <c r="N52" s="306"/>
      <c r="O52" s="306"/>
      <c r="P52" s="499"/>
      <c r="Q52" s="389"/>
      <c r="R52" s="389"/>
      <c r="S52" s="389"/>
      <c r="T52" s="389"/>
      <c r="U52" s="389"/>
      <c r="V52" s="389"/>
      <c r="W52" s="389"/>
      <c r="X52" s="389"/>
      <c r="Y52" s="389"/>
      <c r="Z52" s="389"/>
      <c r="AA52" s="389"/>
      <c r="AB52" s="389"/>
    </row>
    <row r="53" ht="15.6" spans="1:28">
      <c r="A53" s="389"/>
      <c r="B53" s="498"/>
      <c r="C53" s="306"/>
      <c r="D53" s="306"/>
      <c r="E53" s="306"/>
      <c r="F53" s="306"/>
      <c r="G53" s="306"/>
      <c r="H53" s="499"/>
      <c r="I53" s="498"/>
      <c r="J53" s="306"/>
      <c r="K53" s="306"/>
      <c r="L53" s="306"/>
      <c r="M53" s="306"/>
      <c r="N53" s="306"/>
      <c r="O53" s="306"/>
      <c r="P53" s="499"/>
      <c r="Q53" s="389"/>
      <c r="R53" s="389"/>
      <c r="S53" s="389"/>
      <c r="T53" s="389"/>
      <c r="U53" s="389"/>
      <c r="V53" s="389"/>
      <c r="W53" s="389"/>
      <c r="X53" s="389"/>
      <c r="Y53" s="389"/>
      <c r="Z53" s="389"/>
      <c r="AA53" s="389"/>
      <c r="AB53" s="389"/>
    </row>
    <row r="54" ht="15.6" spans="1:28">
      <c r="A54" s="389"/>
      <c r="B54" s="498"/>
      <c r="C54" s="306"/>
      <c r="D54" s="389"/>
      <c r="E54" s="389"/>
      <c r="F54" s="306"/>
      <c r="G54" s="306"/>
      <c r="H54" s="499"/>
      <c r="I54" s="498"/>
      <c r="J54" s="306"/>
      <c r="K54" s="306"/>
      <c r="L54" s="306"/>
      <c r="M54" s="306"/>
      <c r="N54" s="306"/>
      <c r="O54" s="306"/>
      <c r="P54" s="499"/>
      <c r="Q54" s="389"/>
      <c r="R54" s="389"/>
      <c r="S54" s="389"/>
      <c r="T54" s="389"/>
      <c r="U54" s="389"/>
      <c r="V54" s="389"/>
      <c r="W54" s="389"/>
      <c r="X54" s="389"/>
      <c r="Y54" s="389"/>
      <c r="Z54" s="389"/>
      <c r="AA54" s="389"/>
      <c r="AB54" s="389"/>
    </row>
    <row r="55" ht="15.6" spans="1:28">
      <c r="A55" s="389"/>
      <c r="B55" s="498"/>
      <c r="C55" s="500"/>
      <c r="D55" s="389"/>
      <c r="E55" s="389"/>
      <c r="F55" s="389"/>
      <c r="G55" s="389"/>
      <c r="H55" s="501"/>
      <c r="I55" s="498"/>
      <c r="J55" s="306"/>
      <c r="K55" s="306"/>
      <c r="L55" s="306"/>
      <c r="M55" s="306"/>
      <c r="N55" s="306"/>
      <c r="O55" s="306"/>
      <c r="P55" s="499"/>
      <c r="Q55" s="389"/>
      <c r="R55" s="389"/>
      <c r="S55" s="389"/>
      <c r="T55" s="389"/>
      <c r="U55" s="389"/>
      <c r="V55" s="389"/>
      <c r="W55" s="389"/>
      <c r="X55" s="389"/>
      <c r="Y55" s="389"/>
      <c r="Z55" s="389"/>
      <c r="AA55" s="389"/>
      <c r="AB55" s="389"/>
    </row>
    <row r="56" ht="15.6" spans="1:28">
      <c r="A56" s="389"/>
      <c r="B56" s="498"/>
      <c r="C56" s="500"/>
      <c r="D56" s="389"/>
      <c r="E56" s="389"/>
      <c r="F56" s="389"/>
      <c r="G56" s="389"/>
      <c r="H56" s="501"/>
      <c r="I56" s="498"/>
      <c r="J56" s="306"/>
      <c r="K56" s="306"/>
      <c r="L56" s="306"/>
      <c r="M56" s="306"/>
      <c r="N56" s="306"/>
      <c r="O56" s="306"/>
      <c r="P56" s="499"/>
      <c r="Q56" s="389"/>
      <c r="R56" s="389"/>
      <c r="S56" s="389"/>
      <c r="T56" s="389"/>
      <c r="U56" s="389"/>
      <c r="V56" s="389"/>
      <c r="W56" s="389"/>
      <c r="X56" s="389"/>
      <c r="Y56" s="389"/>
      <c r="Z56" s="389"/>
      <c r="AA56" s="389"/>
      <c r="AB56" s="389"/>
    </row>
    <row r="57" ht="15.6" spans="1:28">
      <c r="A57" s="389"/>
      <c r="B57" s="498"/>
      <c r="C57" s="306"/>
      <c r="D57" s="389"/>
      <c r="E57" s="389"/>
      <c r="F57" s="389"/>
      <c r="G57" s="389"/>
      <c r="H57" s="501"/>
      <c r="I57" s="498"/>
      <c r="J57" s="306"/>
      <c r="K57" s="306"/>
      <c r="L57" s="306"/>
      <c r="M57" s="306"/>
      <c r="N57" s="306"/>
      <c r="O57" s="306"/>
      <c r="P57" s="499"/>
      <c r="Q57" s="389"/>
      <c r="R57" s="389"/>
      <c r="S57" s="389"/>
      <c r="T57" s="389"/>
      <c r="U57" s="389"/>
      <c r="V57" s="389"/>
      <c r="W57" s="389"/>
      <c r="X57" s="389"/>
      <c r="Y57" s="389"/>
      <c r="Z57" s="389"/>
      <c r="AA57" s="389"/>
      <c r="AB57" s="389"/>
    </row>
    <row r="58" ht="15.6" spans="1:28">
      <c r="A58" s="389"/>
      <c r="B58" s="498"/>
      <c r="C58" s="306"/>
      <c r="D58" s="389"/>
      <c r="E58" s="389"/>
      <c r="F58" s="389"/>
      <c r="G58" s="389"/>
      <c r="H58" s="501"/>
      <c r="I58" s="498"/>
      <c r="J58" s="306"/>
      <c r="K58" s="306"/>
      <c r="L58" s="306"/>
      <c r="M58" s="306"/>
      <c r="N58" s="306"/>
      <c r="O58" s="306"/>
      <c r="P58" s="499"/>
      <c r="Q58" s="389"/>
      <c r="R58" s="389"/>
      <c r="S58" s="389"/>
      <c r="T58" s="389"/>
      <c r="U58" s="389"/>
      <c r="V58" s="389"/>
      <c r="W58" s="389"/>
      <c r="X58" s="389"/>
      <c r="Y58" s="389"/>
      <c r="Z58" s="389"/>
      <c r="AA58" s="389"/>
      <c r="AB58" s="389"/>
    </row>
    <row r="59" ht="15.6" spans="1:28">
      <c r="A59" s="389"/>
      <c r="B59" s="498"/>
      <c r="C59" s="306"/>
      <c r="D59" s="389"/>
      <c r="E59" s="389"/>
      <c r="F59" s="389"/>
      <c r="G59" s="389"/>
      <c r="H59" s="501"/>
      <c r="I59" s="498"/>
      <c r="J59" s="306"/>
      <c r="K59" s="306"/>
      <c r="L59" s="306"/>
      <c r="M59" s="306"/>
      <c r="N59" s="306"/>
      <c r="O59" s="306"/>
      <c r="P59" s="499"/>
      <c r="Q59" s="389"/>
      <c r="R59" s="389"/>
      <c r="S59" s="389"/>
      <c r="T59" s="389"/>
      <c r="U59" s="389"/>
      <c r="V59" s="389"/>
      <c r="W59" s="389"/>
      <c r="X59" s="389"/>
      <c r="Y59" s="389"/>
      <c r="Z59" s="389"/>
      <c r="AA59" s="389"/>
      <c r="AB59" s="389"/>
    </row>
    <row r="60" ht="15.6" spans="1:28">
      <c r="A60" s="389"/>
      <c r="B60" s="498"/>
      <c r="C60" s="306"/>
      <c r="D60" s="389"/>
      <c r="E60" s="389"/>
      <c r="F60" s="389"/>
      <c r="G60" s="389"/>
      <c r="H60" s="501"/>
      <c r="I60" s="498"/>
      <c r="J60" s="306"/>
      <c r="K60" s="306"/>
      <c r="L60" s="306"/>
      <c r="M60" s="306"/>
      <c r="N60" s="306"/>
      <c r="O60" s="306"/>
      <c r="P60" s="499"/>
      <c r="Q60" s="389"/>
      <c r="R60" s="389"/>
      <c r="S60" s="389"/>
      <c r="T60" s="389"/>
      <c r="U60" s="389"/>
      <c r="V60" s="389"/>
      <c r="W60" s="389"/>
      <c r="X60" s="389"/>
      <c r="Y60" s="389"/>
      <c r="Z60" s="389"/>
      <c r="AA60" s="389"/>
      <c r="AB60" s="389"/>
    </row>
    <row r="61" ht="15.6" spans="1:28">
      <c r="A61" s="389"/>
      <c r="B61" s="498"/>
      <c r="C61" s="306"/>
      <c r="D61" s="389"/>
      <c r="E61" s="389"/>
      <c r="F61" s="389"/>
      <c r="G61" s="389"/>
      <c r="H61" s="501"/>
      <c r="I61" s="498"/>
      <c r="J61" s="306"/>
      <c r="K61" s="306"/>
      <c r="L61" s="306"/>
      <c r="M61" s="306"/>
      <c r="N61" s="306"/>
      <c r="O61" s="306"/>
      <c r="P61" s="499"/>
      <c r="Q61" s="389"/>
      <c r="R61" s="389"/>
      <c r="S61" s="389"/>
      <c r="T61" s="389"/>
      <c r="U61" s="389"/>
      <c r="V61" s="389"/>
      <c r="W61" s="389"/>
      <c r="X61" s="389"/>
      <c r="Y61" s="389"/>
      <c r="Z61" s="389"/>
      <c r="AA61" s="389"/>
      <c r="AB61" s="389"/>
    </row>
    <row r="62" ht="15.6" spans="1:28">
      <c r="A62" s="389"/>
      <c r="B62" s="498"/>
      <c r="C62" s="306"/>
      <c r="D62" s="389"/>
      <c r="E62" s="389"/>
      <c r="F62" s="389"/>
      <c r="G62" s="389"/>
      <c r="H62" s="501"/>
      <c r="I62" s="498"/>
      <c r="J62" s="306"/>
      <c r="K62" s="306"/>
      <c r="L62" s="306"/>
      <c r="M62" s="306"/>
      <c r="N62" s="306"/>
      <c r="O62" s="306"/>
      <c r="P62" s="499"/>
      <c r="Q62" s="389"/>
      <c r="R62" s="389"/>
      <c r="S62" s="389"/>
      <c r="T62" s="389"/>
      <c r="U62" s="389"/>
      <c r="V62" s="389"/>
      <c r="W62" s="389"/>
      <c r="X62" s="389"/>
      <c r="Y62" s="389"/>
      <c r="Z62" s="389"/>
      <c r="AA62" s="389"/>
      <c r="AB62" s="389"/>
    </row>
    <row r="63" ht="15.6" spans="1:28">
      <c r="A63" s="389"/>
      <c r="B63" s="498"/>
      <c r="C63" s="306"/>
      <c r="D63" s="389"/>
      <c r="E63" s="389"/>
      <c r="F63" s="389"/>
      <c r="G63" s="389"/>
      <c r="H63" s="501"/>
      <c r="I63" s="498"/>
      <c r="J63" s="306"/>
      <c r="K63" s="306"/>
      <c r="L63" s="306"/>
      <c r="M63" s="306"/>
      <c r="N63" s="306"/>
      <c r="O63" s="306"/>
      <c r="P63" s="499"/>
      <c r="Q63" s="389"/>
      <c r="R63" s="389"/>
      <c r="S63" s="389"/>
      <c r="T63" s="389"/>
      <c r="U63" s="389"/>
      <c r="V63" s="389"/>
      <c r="W63" s="389"/>
      <c r="X63" s="389"/>
      <c r="Y63" s="389"/>
      <c r="Z63" s="389"/>
      <c r="AA63" s="389"/>
      <c r="AB63" s="389"/>
    </row>
    <row r="64" ht="15.6" spans="1:28">
      <c r="A64" s="389"/>
      <c r="B64" s="498"/>
      <c r="C64" s="306"/>
      <c r="D64" s="389"/>
      <c r="E64" s="389"/>
      <c r="F64" s="389"/>
      <c r="G64" s="389"/>
      <c r="H64" s="501"/>
      <c r="I64" s="498"/>
      <c r="J64" s="306"/>
      <c r="K64" s="306"/>
      <c r="L64" s="306"/>
      <c r="M64" s="306"/>
      <c r="N64" s="306"/>
      <c r="O64" s="306"/>
      <c r="P64" s="499"/>
      <c r="Q64" s="389"/>
      <c r="R64" s="389"/>
      <c r="S64" s="389"/>
      <c r="T64" s="389"/>
      <c r="U64" s="389"/>
      <c r="V64" s="389"/>
      <c r="W64" s="389"/>
      <c r="X64" s="389"/>
      <c r="Y64" s="389"/>
      <c r="Z64" s="389"/>
      <c r="AA64" s="389"/>
      <c r="AB64" s="389"/>
    </row>
    <row r="65" ht="15.6" spans="1:28">
      <c r="A65" s="389"/>
      <c r="B65" s="498"/>
      <c r="C65" s="306"/>
      <c r="D65" s="389"/>
      <c r="E65" s="389"/>
      <c r="F65" s="389"/>
      <c r="G65" s="389"/>
      <c r="H65" s="501"/>
      <c r="I65" s="498"/>
      <c r="J65" s="306"/>
      <c r="K65" s="306"/>
      <c r="L65" s="306"/>
      <c r="M65" s="306"/>
      <c r="N65" s="306"/>
      <c r="O65" s="306"/>
      <c r="P65" s="499"/>
      <c r="Q65" s="389"/>
      <c r="R65" s="389"/>
      <c r="S65" s="389"/>
      <c r="T65" s="389"/>
      <c r="U65" s="389"/>
      <c r="V65" s="389"/>
      <c r="W65" s="389"/>
      <c r="X65" s="389"/>
      <c r="Y65" s="389"/>
      <c r="Z65" s="389"/>
      <c r="AA65" s="389"/>
      <c r="AB65" s="389"/>
    </row>
    <row r="66" ht="16.35" spans="1:28">
      <c r="A66" s="389"/>
      <c r="B66" s="498"/>
      <c r="C66" s="500"/>
      <c r="D66" s="389"/>
      <c r="E66" s="389"/>
      <c r="F66" s="389"/>
      <c r="G66" s="389"/>
      <c r="H66" s="501"/>
      <c r="I66" s="498"/>
      <c r="J66" s="500"/>
      <c r="K66" s="500"/>
      <c r="L66" s="500"/>
      <c r="M66" s="500"/>
      <c r="N66" s="500"/>
      <c r="O66" s="500"/>
      <c r="P66" s="499"/>
      <c r="Q66" s="389"/>
      <c r="R66" s="389"/>
      <c r="S66" s="389"/>
      <c r="T66" s="389"/>
      <c r="U66" s="389"/>
      <c r="V66" s="389"/>
      <c r="W66" s="389"/>
      <c r="X66" s="389"/>
      <c r="Y66" s="389"/>
      <c r="Z66" s="389"/>
      <c r="AA66" s="389"/>
      <c r="AB66" s="389"/>
    </row>
    <row r="67" ht="15.6" spans="1:28">
      <c r="A67" s="580"/>
      <c r="B67" s="581"/>
      <c r="C67" s="582"/>
      <c r="D67" s="583"/>
      <c r="E67" s="583"/>
      <c r="F67" s="583"/>
      <c r="G67" s="583"/>
      <c r="H67" s="584"/>
      <c r="I67" s="616"/>
      <c r="J67" s="617"/>
      <c r="K67" s="617"/>
      <c r="L67" s="617"/>
      <c r="M67" s="617"/>
      <c r="N67" s="617"/>
      <c r="O67" s="617"/>
      <c r="P67" s="618"/>
      <c r="Q67" s="629"/>
      <c r="R67" s="629"/>
      <c r="S67" s="629"/>
      <c r="T67" s="630"/>
      <c r="U67" s="580"/>
      <c r="V67" s="389"/>
      <c r="W67" s="389"/>
      <c r="X67" s="389"/>
      <c r="Y67" s="389"/>
      <c r="Z67" s="389"/>
      <c r="AA67" s="389"/>
      <c r="AB67" s="389"/>
    </row>
    <row r="68" ht="15.6" spans="1:28">
      <c r="A68" s="580"/>
      <c r="B68" s="585"/>
      <c r="C68" s="586"/>
      <c r="D68" s="587"/>
      <c r="E68" s="587"/>
      <c r="F68" s="587"/>
      <c r="G68" s="587"/>
      <c r="H68" s="588"/>
      <c r="I68" s="619"/>
      <c r="J68" s="620"/>
      <c r="K68" s="620"/>
      <c r="L68" s="620"/>
      <c r="M68" s="620"/>
      <c r="N68" s="620"/>
      <c r="O68" s="620"/>
      <c r="P68" s="621"/>
      <c r="Q68" s="580"/>
      <c r="R68" s="580"/>
      <c r="S68" s="580"/>
      <c r="T68" s="631"/>
      <c r="U68" s="580"/>
      <c r="V68" s="389"/>
      <c r="W68" s="389"/>
      <c r="X68" s="389"/>
      <c r="Y68" s="389"/>
      <c r="Z68" s="389"/>
      <c r="AA68" s="389"/>
      <c r="AB68" s="389"/>
    </row>
    <row r="69" ht="15.6" spans="1:28">
      <c r="A69" s="580"/>
      <c r="B69" s="585"/>
      <c r="C69" s="586"/>
      <c r="D69" s="587"/>
      <c r="E69" s="587"/>
      <c r="F69" s="587"/>
      <c r="G69" s="587"/>
      <c r="H69" s="588"/>
      <c r="I69" s="619"/>
      <c r="J69" s="620"/>
      <c r="K69" s="620"/>
      <c r="L69" s="620"/>
      <c r="M69" s="620"/>
      <c r="N69" s="620"/>
      <c r="O69" s="620"/>
      <c r="P69" s="621"/>
      <c r="Q69" s="580"/>
      <c r="R69" s="580"/>
      <c r="S69" s="580"/>
      <c r="T69" s="631"/>
      <c r="U69" s="580"/>
      <c r="V69" s="389"/>
      <c r="W69" s="389"/>
      <c r="X69" s="389"/>
      <c r="Y69" s="389"/>
      <c r="Z69" s="389"/>
      <c r="AA69" s="389"/>
      <c r="AB69" s="389"/>
    </row>
    <row r="70" ht="15.6" spans="1:28">
      <c r="A70" s="580"/>
      <c r="B70" s="585"/>
      <c r="C70" s="586"/>
      <c r="D70" s="587"/>
      <c r="E70" s="587"/>
      <c r="F70" s="587"/>
      <c r="G70" s="587"/>
      <c r="H70" s="588"/>
      <c r="I70" s="619"/>
      <c r="J70" s="620"/>
      <c r="K70" s="620"/>
      <c r="L70" s="620"/>
      <c r="M70" s="620"/>
      <c r="N70" s="620"/>
      <c r="O70" s="620"/>
      <c r="P70" s="621"/>
      <c r="Q70" s="580"/>
      <c r="R70" s="580"/>
      <c r="S70" s="580"/>
      <c r="T70" s="631"/>
      <c r="U70" s="580"/>
      <c r="V70" s="389"/>
      <c r="W70" s="389"/>
      <c r="X70" s="389"/>
      <c r="Y70" s="389"/>
      <c r="Z70" s="389"/>
      <c r="AA70" s="389"/>
      <c r="AB70" s="389"/>
    </row>
    <row r="71" ht="15.6" spans="1:28">
      <c r="A71" s="580"/>
      <c r="B71" s="585"/>
      <c r="C71" s="586"/>
      <c r="D71" s="587"/>
      <c r="E71" s="587"/>
      <c r="F71" s="587"/>
      <c r="G71" s="587"/>
      <c r="H71" s="588"/>
      <c r="I71" s="619"/>
      <c r="J71" s="620"/>
      <c r="K71" s="620"/>
      <c r="L71" s="620"/>
      <c r="M71" s="620"/>
      <c r="N71" s="620"/>
      <c r="O71" s="620"/>
      <c r="P71" s="621"/>
      <c r="Q71" s="580"/>
      <c r="R71" s="580"/>
      <c r="S71" s="580"/>
      <c r="T71" s="631"/>
      <c r="U71" s="580"/>
      <c r="V71" s="389"/>
      <c r="W71" s="389"/>
      <c r="X71" s="389"/>
      <c r="Y71" s="389"/>
      <c r="Z71" s="389"/>
      <c r="AA71" s="389"/>
      <c r="AB71" s="389"/>
    </row>
    <row r="72" ht="15.6" spans="1:28">
      <c r="A72" s="580"/>
      <c r="B72" s="585"/>
      <c r="C72" s="586"/>
      <c r="D72" s="587"/>
      <c r="E72" s="587"/>
      <c r="F72" s="587"/>
      <c r="G72" s="587"/>
      <c r="H72" s="588"/>
      <c r="I72" s="619"/>
      <c r="J72" s="620"/>
      <c r="K72" s="620"/>
      <c r="L72" s="620"/>
      <c r="M72" s="620"/>
      <c r="N72" s="620"/>
      <c r="O72" s="620"/>
      <c r="P72" s="621"/>
      <c r="Q72" s="580"/>
      <c r="R72" s="580"/>
      <c r="S72" s="580"/>
      <c r="T72" s="631"/>
      <c r="U72" s="580"/>
      <c r="V72" s="389"/>
      <c r="W72" s="389"/>
      <c r="X72" s="389"/>
      <c r="Y72" s="389"/>
      <c r="Z72" s="389"/>
      <c r="AA72" s="389"/>
      <c r="AB72" s="389"/>
    </row>
    <row r="73" ht="15.6" spans="1:28">
      <c r="A73" s="580"/>
      <c r="B73" s="585"/>
      <c r="C73" s="586"/>
      <c r="D73" s="587"/>
      <c r="E73" s="587"/>
      <c r="F73" s="587"/>
      <c r="G73" s="587"/>
      <c r="H73" s="588"/>
      <c r="I73" s="619"/>
      <c r="J73" s="620"/>
      <c r="K73" s="620"/>
      <c r="L73" s="620"/>
      <c r="M73" s="620"/>
      <c r="N73" s="620"/>
      <c r="O73" s="620"/>
      <c r="P73" s="621"/>
      <c r="Q73" s="580"/>
      <c r="R73" s="580"/>
      <c r="S73" s="580"/>
      <c r="T73" s="631"/>
      <c r="U73" s="580"/>
      <c r="V73" s="389"/>
      <c r="W73" s="389"/>
      <c r="X73" s="389"/>
      <c r="Y73" s="389"/>
      <c r="Z73" s="389"/>
      <c r="AA73" s="389"/>
      <c r="AB73" s="389"/>
    </row>
    <row r="74" ht="15.6" spans="1:28">
      <c r="A74" s="580"/>
      <c r="B74" s="585"/>
      <c r="C74" s="586"/>
      <c r="D74" s="587"/>
      <c r="E74" s="587"/>
      <c r="F74" s="587"/>
      <c r="G74" s="587"/>
      <c r="H74" s="588"/>
      <c r="I74" s="619"/>
      <c r="J74" s="620"/>
      <c r="K74" s="620"/>
      <c r="L74" s="620"/>
      <c r="M74" s="620"/>
      <c r="N74" s="620"/>
      <c r="O74" s="620"/>
      <c r="P74" s="621"/>
      <c r="Q74" s="580"/>
      <c r="R74" s="580"/>
      <c r="S74" s="580"/>
      <c r="T74" s="631"/>
      <c r="U74" s="580"/>
      <c r="V74" s="389"/>
      <c r="W74" s="389"/>
      <c r="X74" s="389"/>
      <c r="Y74" s="389"/>
      <c r="Z74" s="389"/>
      <c r="AA74" s="389"/>
      <c r="AB74" s="389"/>
    </row>
    <row r="75" ht="15.6" spans="1:28">
      <c r="A75" s="580"/>
      <c r="B75" s="585"/>
      <c r="C75" s="586"/>
      <c r="D75" s="587"/>
      <c r="E75" s="587"/>
      <c r="F75" s="587"/>
      <c r="G75" s="587"/>
      <c r="H75" s="588"/>
      <c r="I75" s="619"/>
      <c r="J75" s="620"/>
      <c r="K75" s="620"/>
      <c r="L75" s="620"/>
      <c r="M75" s="620"/>
      <c r="N75" s="620"/>
      <c r="O75" s="620"/>
      <c r="P75" s="621"/>
      <c r="Q75" s="580"/>
      <c r="R75" s="580"/>
      <c r="S75" s="580"/>
      <c r="T75" s="631"/>
      <c r="U75" s="580"/>
      <c r="V75" s="389"/>
      <c r="W75" s="389"/>
      <c r="X75" s="389"/>
      <c r="Y75" s="389"/>
      <c r="Z75" s="389"/>
      <c r="AA75" s="389"/>
      <c r="AB75" s="389"/>
    </row>
    <row r="76" ht="15.6" spans="1:28">
      <c r="A76" s="580"/>
      <c r="B76" s="585"/>
      <c r="C76" s="586"/>
      <c r="D76" s="587"/>
      <c r="E76" s="587"/>
      <c r="F76" s="587"/>
      <c r="G76" s="587"/>
      <c r="H76" s="588"/>
      <c r="I76" s="619"/>
      <c r="J76" s="620"/>
      <c r="K76" s="620"/>
      <c r="L76" s="620"/>
      <c r="M76" s="620"/>
      <c r="N76" s="620"/>
      <c r="O76" s="620"/>
      <c r="P76" s="621"/>
      <c r="Q76" s="580"/>
      <c r="R76" s="580"/>
      <c r="S76" s="580"/>
      <c r="T76" s="631"/>
      <c r="U76" s="580"/>
      <c r="V76" s="389"/>
      <c r="W76" s="389"/>
      <c r="X76" s="389"/>
      <c r="Y76" s="389"/>
      <c r="Z76" s="389"/>
      <c r="AA76" s="389"/>
      <c r="AB76" s="389"/>
    </row>
    <row r="77" ht="15.6" spans="1:28">
      <c r="A77" s="580"/>
      <c r="B77" s="585"/>
      <c r="C77" s="586"/>
      <c r="D77" s="587"/>
      <c r="E77" s="587"/>
      <c r="F77" s="587"/>
      <c r="G77" s="587"/>
      <c r="H77" s="588"/>
      <c r="I77" s="619"/>
      <c r="J77" s="620"/>
      <c r="K77" s="620"/>
      <c r="L77" s="620"/>
      <c r="M77" s="620"/>
      <c r="N77" s="620"/>
      <c r="O77" s="620"/>
      <c r="P77" s="621"/>
      <c r="Q77" s="580"/>
      <c r="R77" s="580"/>
      <c r="S77" s="580"/>
      <c r="T77" s="631"/>
      <c r="U77" s="580"/>
      <c r="V77" s="389"/>
      <c r="W77" s="389"/>
      <c r="X77" s="389"/>
      <c r="Y77" s="389"/>
      <c r="Z77" s="389"/>
      <c r="AA77" s="389"/>
      <c r="AB77" s="389"/>
    </row>
    <row r="78" ht="15.6" spans="1:28">
      <c r="A78" s="580"/>
      <c r="B78" s="585"/>
      <c r="C78" s="586"/>
      <c r="D78" s="587"/>
      <c r="E78" s="587"/>
      <c r="F78" s="587"/>
      <c r="G78" s="587"/>
      <c r="H78" s="588"/>
      <c r="I78" s="619"/>
      <c r="J78" s="620"/>
      <c r="K78" s="620"/>
      <c r="L78" s="620"/>
      <c r="M78" s="620"/>
      <c r="N78" s="620"/>
      <c r="O78" s="620"/>
      <c r="P78" s="621"/>
      <c r="Q78" s="580"/>
      <c r="R78" s="580"/>
      <c r="S78" s="580"/>
      <c r="T78" s="631"/>
      <c r="U78" s="580"/>
      <c r="V78" s="389"/>
      <c r="W78" s="389"/>
      <c r="X78" s="389"/>
      <c r="Y78" s="389"/>
      <c r="Z78" s="389"/>
      <c r="AA78" s="389"/>
      <c r="AB78" s="389"/>
    </row>
    <row r="79" ht="15.6" spans="1:28">
      <c r="A79" s="580"/>
      <c r="B79" s="585"/>
      <c r="C79" s="586"/>
      <c r="D79" s="587"/>
      <c r="E79" s="587"/>
      <c r="F79" s="587"/>
      <c r="G79" s="587"/>
      <c r="H79" s="588"/>
      <c r="I79" s="619"/>
      <c r="J79" s="620"/>
      <c r="K79" s="620"/>
      <c r="L79" s="620"/>
      <c r="M79" s="620"/>
      <c r="N79" s="620"/>
      <c r="O79" s="620"/>
      <c r="P79" s="621"/>
      <c r="Q79" s="580"/>
      <c r="R79" s="580"/>
      <c r="S79" s="580"/>
      <c r="T79" s="631"/>
      <c r="U79" s="580"/>
      <c r="V79" s="389"/>
      <c r="W79" s="389"/>
      <c r="X79" s="389"/>
      <c r="Y79" s="389"/>
      <c r="Z79" s="389"/>
      <c r="AA79" s="389"/>
      <c r="AB79" s="389"/>
    </row>
    <row r="80" ht="15.6" spans="1:28">
      <c r="A80" s="580"/>
      <c r="B80" s="585"/>
      <c r="C80" s="586"/>
      <c r="D80" s="587"/>
      <c r="E80" s="587"/>
      <c r="F80" s="587"/>
      <c r="G80" s="587"/>
      <c r="H80" s="588"/>
      <c r="I80" s="619"/>
      <c r="J80" s="620"/>
      <c r="K80" s="620"/>
      <c r="L80" s="620"/>
      <c r="M80" s="620"/>
      <c r="N80" s="620"/>
      <c r="O80" s="620"/>
      <c r="P80" s="621"/>
      <c r="Q80" s="580"/>
      <c r="R80" s="580"/>
      <c r="S80" s="580"/>
      <c r="T80" s="631"/>
      <c r="U80" s="580"/>
      <c r="V80" s="389"/>
      <c r="W80" s="389"/>
      <c r="X80" s="389"/>
      <c r="Y80" s="389"/>
      <c r="Z80" s="389"/>
      <c r="AA80" s="389"/>
      <c r="AB80" s="389"/>
    </row>
    <row r="81" ht="15.6" spans="1:28">
      <c r="A81" s="580"/>
      <c r="B81" s="585"/>
      <c r="C81" s="586"/>
      <c r="D81" s="587"/>
      <c r="E81" s="587"/>
      <c r="F81" s="587"/>
      <c r="G81" s="587"/>
      <c r="H81" s="588"/>
      <c r="I81" s="619"/>
      <c r="J81" s="620"/>
      <c r="K81" s="620"/>
      <c r="L81" s="620"/>
      <c r="M81" s="620"/>
      <c r="N81" s="620"/>
      <c r="O81" s="620"/>
      <c r="P81" s="621"/>
      <c r="Q81" s="580"/>
      <c r="R81" s="580"/>
      <c r="S81" s="580"/>
      <c r="T81" s="631"/>
      <c r="U81" s="580"/>
      <c r="V81" s="389"/>
      <c r="W81" s="389"/>
      <c r="X81" s="389"/>
      <c r="Y81" s="389"/>
      <c r="Z81" s="389"/>
      <c r="AA81" s="389"/>
      <c r="AB81" s="389"/>
    </row>
    <row r="82" ht="15.6" spans="1:28">
      <c r="A82" s="580"/>
      <c r="B82" s="585"/>
      <c r="C82" s="586"/>
      <c r="D82" s="587"/>
      <c r="E82" s="587"/>
      <c r="F82" s="587"/>
      <c r="G82" s="587"/>
      <c r="H82" s="588"/>
      <c r="I82" s="619"/>
      <c r="J82" s="620"/>
      <c r="K82" s="620"/>
      <c r="L82" s="620"/>
      <c r="M82" s="620"/>
      <c r="N82" s="620"/>
      <c r="O82" s="620"/>
      <c r="P82" s="621"/>
      <c r="Q82" s="580"/>
      <c r="R82" s="580"/>
      <c r="S82" s="580"/>
      <c r="T82" s="631"/>
      <c r="U82" s="580"/>
      <c r="V82" s="389"/>
      <c r="W82" s="389"/>
      <c r="X82" s="389"/>
      <c r="Y82" s="389"/>
      <c r="Z82" s="389"/>
      <c r="AA82" s="389"/>
      <c r="AB82" s="389"/>
    </row>
    <row r="83" ht="15.6" spans="1:28">
      <c r="A83" s="580"/>
      <c r="B83" s="585"/>
      <c r="C83" s="586"/>
      <c r="D83" s="587"/>
      <c r="E83" s="587"/>
      <c r="F83" s="587"/>
      <c r="G83" s="587"/>
      <c r="H83" s="588"/>
      <c r="I83" s="619"/>
      <c r="J83" s="620"/>
      <c r="K83" s="620"/>
      <c r="L83" s="620"/>
      <c r="M83" s="620"/>
      <c r="N83" s="620"/>
      <c r="O83" s="620"/>
      <c r="P83" s="621"/>
      <c r="Q83" s="580"/>
      <c r="R83" s="580"/>
      <c r="S83" s="580"/>
      <c r="T83" s="631"/>
      <c r="U83" s="580"/>
      <c r="V83" s="389"/>
      <c r="W83" s="389"/>
      <c r="X83" s="389"/>
      <c r="Y83" s="389"/>
      <c r="Z83" s="389"/>
      <c r="AA83" s="389"/>
      <c r="AB83" s="389"/>
    </row>
    <row r="84" ht="15.6" spans="1:28">
      <c r="A84" s="580"/>
      <c r="B84" s="585"/>
      <c r="C84" s="586"/>
      <c r="D84" s="587"/>
      <c r="E84" s="587"/>
      <c r="F84" s="587"/>
      <c r="G84" s="587"/>
      <c r="H84" s="588"/>
      <c r="I84" s="619"/>
      <c r="J84" s="620"/>
      <c r="K84" s="620"/>
      <c r="L84" s="620"/>
      <c r="M84" s="620"/>
      <c r="N84" s="620"/>
      <c r="O84" s="620"/>
      <c r="P84" s="621"/>
      <c r="Q84" s="580"/>
      <c r="R84" s="580"/>
      <c r="S84" s="580"/>
      <c r="T84" s="631"/>
      <c r="U84" s="580"/>
      <c r="V84" s="389"/>
      <c r="W84" s="389"/>
      <c r="X84" s="389"/>
      <c r="Y84" s="389"/>
      <c r="Z84" s="389"/>
      <c r="AA84" s="389"/>
      <c r="AB84" s="389"/>
    </row>
    <row r="85" ht="15.6" spans="1:28">
      <c r="A85" s="580"/>
      <c r="B85" s="585"/>
      <c r="C85" s="586"/>
      <c r="D85" s="587"/>
      <c r="E85" s="587"/>
      <c r="F85" s="587"/>
      <c r="G85" s="587"/>
      <c r="H85" s="588"/>
      <c r="I85" s="619"/>
      <c r="J85" s="620"/>
      <c r="K85" s="620"/>
      <c r="L85" s="620"/>
      <c r="M85" s="620"/>
      <c r="N85" s="620"/>
      <c r="O85" s="620"/>
      <c r="P85" s="621"/>
      <c r="Q85" s="580"/>
      <c r="R85" s="580"/>
      <c r="S85" s="580"/>
      <c r="T85" s="631"/>
      <c r="U85" s="580"/>
      <c r="V85" s="389"/>
      <c r="W85" s="389"/>
      <c r="X85" s="389"/>
      <c r="Y85" s="389"/>
      <c r="Z85" s="389"/>
      <c r="AA85" s="389"/>
      <c r="AB85" s="389"/>
    </row>
    <row r="86" ht="15.6" spans="1:28">
      <c r="A86" s="580"/>
      <c r="B86" s="585"/>
      <c r="C86" s="586"/>
      <c r="D86" s="587"/>
      <c r="E86" s="587"/>
      <c r="F86" s="587"/>
      <c r="G86" s="587"/>
      <c r="H86" s="588"/>
      <c r="I86" s="619"/>
      <c r="J86" s="620"/>
      <c r="K86" s="620"/>
      <c r="L86" s="620"/>
      <c r="M86" s="620"/>
      <c r="N86" s="620"/>
      <c r="O86" s="620"/>
      <c r="P86" s="621"/>
      <c r="Q86" s="580"/>
      <c r="R86" s="580"/>
      <c r="S86" s="580"/>
      <c r="T86" s="631"/>
      <c r="U86" s="580"/>
      <c r="V86" s="389"/>
      <c r="W86" s="389"/>
      <c r="X86" s="389"/>
      <c r="Y86" s="389"/>
      <c r="Z86" s="389"/>
      <c r="AA86" s="389"/>
      <c r="AB86" s="389"/>
    </row>
    <row r="87" ht="15.6" spans="1:28">
      <c r="A87" s="580"/>
      <c r="B87" s="585"/>
      <c r="C87" s="586"/>
      <c r="D87" s="587"/>
      <c r="E87" s="587"/>
      <c r="F87" s="587"/>
      <c r="G87" s="587"/>
      <c r="H87" s="588"/>
      <c r="I87" s="619"/>
      <c r="J87" s="620"/>
      <c r="K87" s="620"/>
      <c r="L87" s="620"/>
      <c r="M87" s="620"/>
      <c r="N87" s="620"/>
      <c r="O87" s="620"/>
      <c r="P87" s="621"/>
      <c r="Q87" s="580"/>
      <c r="R87" s="580"/>
      <c r="S87" s="580"/>
      <c r="T87" s="631"/>
      <c r="U87" s="580"/>
      <c r="V87" s="389"/>
      <c r="W87" s="389"/>
      <c r="X87" s="389"/>
      <c r="Y87" s="389"/>
      <c r="Z87" s="389"/>
      <c r="AA87" s="389"/>
      <c r="AB87" s="389"/>
    </row>
    <row r="88" ht="15.6" spans="1:28">
      <c r="A88" s="580"/>
      <c r="B88" s="585"/>
      <c r="C88" s="586"/>
      <c r="D88" s="587"/>
      <c r="E88" s="587"/>
      <c r="F88" s="587"/>
      <c r="G88" s="587"/>
      <c r="H88" s="588"/>
      <c r="I88" s="619"/>
      <c r="J88" s="620"/>
      <c r="K88" s="620"/>
      <c r="L88" s="620"/>
      <c r="M88" s="620"/>
      <c r="N88" s="620"/>
      <c r="O88" s="620"/>
      <c r="P88" s="621"/>
      <c r="Q88" s="580"/>
      <c r="R88" s="580"/>
      <c r="S88" s="580"/>
      <c r="T88" s="631"/>
      <c r="U88" s="580"/>
      <c r="V88" s="389"/>
      <c r="W88" s="389"/>
      <c r="X88" s="389"/>
      <c r="Y88" s="389"/>
      <c r="Z88" s="389"/>
      <c r="AA88" s="389"/>
      <c r="AB88" s="389"/>
    </row>
    <row r="89" ht="15.6" spans="1:28">
      <c r="A89" s="580"/>
      <c r="B89" s="585"/>
      <c r="C89" s="586"/>
      <c r="D89" s="587"/>
      <c r="E89" s="587"/>
      <c r="F89" s="587"/>
      <c r="G89" s="587"/>
      <c r="H89" s="588"/>
      <c r="I89" s="619"/>
      <c r="J89" s="620"/>
      <c r="K89" s="620"/>
      <c r="L89" s="620"/>
      <c r="M89" s="620"/>
      <c r="N89" s="620"/>
      <c r="O89" s="620"/>
      <c r="P89" s="621"/>
      <c r="Q89" s="580"/>
      <c r="R89" s="580"/>
      <c r="S89" s="580"/>
      <c r="T89" s="631"/>
      <c r="U89" s="580"/>
      <c r="V89" s="389"/>
      <c r="W89" s="389"/>
      <c r="X89" s="389"/>
      <c r="Y89" s="389"/>
      <c r="Z89" s="389"/>
      <c r="AA89" s="389"/>
      <c r="AB89" s="389"/>
    </row>
    <row r="90" ht="15.6" spans="1:28">
      <c r="A90" s="580"/>
      <c r="B90" s="585"/>
      <c r="C90" s="586"/>
      <c r="D90" s="587"/>
      <c r="E90" s="587"/>
      <c r="F90" s="587"/>
      <c r="G90" s="587"/>
      <c r="H90" s="588"/>
      <c r="I90" s="619"/>
      <c r="J90" s="620"/>
      <c r="K90" s="620"/>
      <c r="L90" s="620"/>
      <c r="M90" s="620"/>
      <c r="N90" s="620"/>
      <c r="O90" s="620"/>
      <c r="P90" s="621"/>
      <c r="Q90" s="580"/>
      <c r="R90" s="580"/>
      <c r="S90" s="580"/>
      <c r="T90" s="631"/>
      <c r="U90" s="580"/>
      <c r="V90" s="389"/>
      <c r="W90" s="389"/>
      <c r="X90" s="389"/>
      <c r="Y90" s="389"/>
      <c r="Z90" s="389"/>
      <c r="AA90" s="389"/>
      <c r="AB90" s="389"/>
    </row>
    <row r="91" ht="15.6" spans="1:28">
      <c r="A91" s="580"/>
      <c r="B91" s="585"/>
      <c r="C91" s="586"/>
      <c r="D91" s="587"/>
      <c r="E91" s="587"/>
      <c r="F91" s="587"/>
      <c r="G91" s="587"/>
      <c r="H91" s="588"/>
      <c r="I91" s="619"/>
      <c r="J91" s="620"/>
      <c r="K91" s="620"/>
      <c r="L91" s="620"/>
      <c r="M91" s="620"/>
      <c r="N91" s="620"/>
      <c r="O91" s="620"/>
      <c r="P91" s="621"/>
      <c r="Q91" s="580"/>
      <c r="R91" s="580"/>
      <c r="S91" s="580"/>
      <c r="T91" s="631"/>
      <c r="U91" s="580"/>
      <c r="V91" s="389"/>
      <c r="W91" s="389"/>
      <c r="X91" s="389"/>
      <c r="Y91" s="389"/>
      <c r="Z91" s="389"/>
      <c r="AA91" s="389"/>
      <c r="AB91" s="389"/>
    </row>
    <row r="92" ht="15.6" spans="1:28">
      <c r="A92" s="580"/>
      <c r="B92" s="585"/>
      <c r="C92" s="586"/>
      <c r="D92" s="587"/>
      <c r="E92" s="587"/>
      <c r="F92" s="587"/>
      <c r="G92" s="587"/>
      <c r="H92" s="588"/>
      <c r="I92" s="619"/>
      <c r="J92" s="620"/>
      <c r="K92" s="620"/>
      <c r="L92" s="620"/>
      <c r="M92" s="620"/>
      <c r="N92" s="620"/>
      <c r="O92" s="620"/>
      <c r="P92" s="621"/>
      <c r="Q92" s="580"/>
      <c r="R92" s="580"/>
      <c r="S92" s="580"/>
      <c r="T92" s="631"/>
      <c r="U92" s="580"/>
      <c r="V92" s="389"/>
      <c r="W92" s="389"/>
      <c r="X92" s="389"/>
      <c r="Y92" s="389"/>
      <c r="Z92" s="389"/>
      <c r="AA92" s="389"/>
      <c r="AB92" s="389"/>
    </row>
    <row r="93" ht="15.6" spans="1:28">
      <c r="A93" s="580"/>
      <c r="B93" s="585"/>
      <c r="C93" s="586"/>
      <c r="D93" s="587"/>
      <c r="E93" s="587"/>
      <c r="F93" s="587"/>
      <c r="G93" s="587"/>
      <c r="H93" s="588"/>
      <c r="I93" s="619"/>
      <c r="J93" s="620"/>
      <c r="K93" s="620"/>
      <c r="L93" s="620"/>
      <c r="M93" s="620"/>
      <c r="N93" s="620"/>
      <c r="O93" s="620"/>
      <c r="P93" s="621"/>
      <c r="Q93" s="580"/>
      <c r="R93" s="580"/>
      <c r="S93" s="580"/>
      <c r="T93" s="631"/>
      <c r="U93" s="580"/>
      <c r="V93" s="389"/>
      <c r="W93" s="389"/>
      <c r="X93" s="389"/>
      <c r="Y93" s="389"/>
      <c r="Z93" s="389"/>
      <c r="AA93" s="389"/>
      <c r="AB93" s="389"/>
    </row>
    <row r="94" ht="15.6" spans="1:28">
      <c r="A94" s="580"/>
      <c r="B94" s="585"/>
      <c r="C94" s="586"/>
      <c r="D94" s="587"/>
      <c r="E94" s="587"/>
      <c r="F94" s="587"/>
      <c r="G94" s="587"/>
      <c r="H94" s="588"/>
      <c r="I94" s="619"/>
      <c r="J94" s="620"/>
      <c r="K94" s="620"/>
      <c r="L94" s="620"/>
      <c r="M94" s="620"/>
      <c r="N94" s="620"/>
      <c r="O94" s="620"/>
      <c r="P94" s="621"/>
      <c r="Q94" s="580"/>
      <c r="R94" s="580"/>
      <c r="S94" s="580"/>
      <c r="T94" s="631"/>
      <c r="U94" s="580"/>
      <c r="V94" s="389"/>
      <c r="W94" s="389"/>
      <c r="X94" s="389"/>
      <c r="Y94" s="389"/>
      <c r="Z94" s="389"/>
      <c r="AA94" s="389"/>
      <c r="AB94" s="389"/>
    </row>
    <row r="95" ht="15.6" spans="1:28">
      <c r="A95" s="580"/>
      <c r="B95" s="585"/>
      <c r="C95" s="586"/>
      <c r="D95" s="587"/>
      <c r="E95" s="587"/>
      <c r="F95" s="587"/>
      <c r="G95" s="587"/>
      <c r="H95" s="588"/>
      <c r="I95" s="619"/>
      <c r="J95" s="620"/>
      <c r="K95" s="620"/>
      <c r="L95" s="620"/>
      <c r="M95" s="620"/>
      <c r="N95" s="620"/>
      <c r="O95" s="620"/>
      <c r="P95" s="621"/>
      <c r="Q95" s="580"/>
      <c r="R95" s="580"/>
      <c r="S95" s="580"/>
      <c r="T95" s="631"/>
      <c r="U95" s="580"/>
      <c r="V95" s="389"/>
      <c r="W95" s="389"/>
      <c r="X95" s="389"/>
      <c r="Y95" s="389"/>
      <c r="Z95" s="389"/>
      <c r="AA95" s="389"/>
      <c r="AB95" s="389"/>
    </row>
    <row r="96" ht="15.6" spans="1:28">
      <c r="A96" s="580"/>
      <c r="B96" s="585"/>
      <c r="C96" s="586"/>
      <c r="D96" s="587"/>
      <c r="E96" s="587"/>
      <c r="F96" s="587"/>
      <c r="G96" s="587"/>
      <c r="H96" s="588"/>
      <c r="I96" s="619"/>
      <c r="J96" s="620"/>
      <c r="K96" s="620"/>
      <c r="L96" s="620"/>
      <c r="M96" s="620"/>
      <c r="N96" s="620"/>
      <c r="O96" s="620"/>
      <c r="P96" s="621"/>
      <c r="Q96" s="580"/>
      <c r="R96" s="580"/>
      <c r="S96" s="580"/>
      <c r="T96" s="631"/>
      <c r="U96" s="580"/>
      <c r="V96" s="389"/>
      <c r="W96" s="389"/>
      <c r="X96" s="389"/>
      <c r="Y96" s="389"/>
      <c r="Z96" s="389"/>
      <c r="AA96" s="389"/>
      <c r="AB96" s="389"/>
    </row>
    <row r="97" ht="15.6" spans="1:28">
      <c r="A97" s="580"/>
      <c r="B97" s="585"/>
      <c r="C97" s="586"/>
      <c r="D97" s="580"/>
      <c r="E97" s="580"/>
      <c r="F97" s="580"/>
      <c r="G97" s="580"/>
      <c r="H97" s="580"/>
      <c r="I97" s="580"/>
      <c r="J97" s="580"/>
      <c r="K97" s="580"/>
      <c r="L97" s="580"/>
      <c r="M97" s="580"/>
      <c r="N97" s="580"/>
      <c r="O97" s="580"/>
      <c r="P97" s="580"/>
      <c r="Q97" s="580"/>
      <c r="R97" s="580"/>
      <c r="S97" s="580"/>
      <c r="T97" s="631"/>
      <c r="U97" s="580"/>
      <c r="V97" s="389"/>
      <c r="W97" s="389"/>
      <c r="X97" s="389"/>
      <c r="Y97" s="389"/>
      <c r="Z97" s="389"/>
      <c r="AA97" s="389"/>
      <c r="AB97" s="389"/>
    </row>
    <row r="98" ht="15.6" spans="1:28">
      <c r="A98" s="580"/>
      <c r="B98" s="585"/>
      <c r="C98" s="586"/>
      <c r="D98" s="580"/>
      <c r="E98" s="580"/>
      <c r="F98" s="580"/>
      <c r="G98" s="580"/>
      <c r="H98" s="580"/>
      <c r="I98" s="580"/>
      <c r="J98" s="580"/>
      <c r="K98" s="580"/>
      <c r="L98" s="580"/>
      <c r="M98" s="580"/>
      <c r="N98" s="580"/>
      <c r="O98" s="580"/>
      <c r="P98" s="580"/>
      <c r="Q98" s="580"/>
      <c r="R98" s="580"/>
      <c r="S98" s="580"/>
      <c r="T98" s="631"/>
      <c r="U98" s="580"/>
      <c r="V98" s="389"/>
      <c r="W98" s="389"/>
      <c r="X98" s="389"/>
      <c r="Y98" s="389"/>
      <c r="Z98" s="389"/>
      <c r="AA98" s="389"/>
      <c r="AB98" s="389"/>
    </row>
    <row r="99" ht="16.35" spans="1:28">
      <c r="A99" s="589"/>
      <c r="B99" s="590"/>
      <c r="C99" s="591"/>
      <c r="D99" s="592"/>
      <c r="E99" s="592"/>
      <c r="F99" s="592"/>
      <c r="G99" s="592"/>
      <c r="H99" s="592"/>
      <c r="I99" s="592"/>
      <c r="J99" s="592"/>
      <c r="K99" s="592"/>
      <c r="L99" s="592"/>
      <c r="M99" s="592"/>
      <c r="N99" s="592"/>
      <c r="O99" s="592"/>
      <c r="P99" s="592"/>
      <c r="Q99" s="592"/>
      <c r="R99" s="592"/>
      <c r="S99" s="592"/>
      <c r="T99" s="632"/>
      <c r="U99" s="589"/>
      <c r="V99" s="394"/>
      <c r="W99" s="394"/>
      <c r="X99" s="394"/>
      <c r="Y99" s="394"/>
      <c r="Z99" s="394"/>
      <c r="AA99" s="394"/>
      <c r="AB99" s="394"/>
    </row>
    <row r="100" ht="15.6" spans="1:28">
      <c r="A100" s="589"/>
      <c r="B100" s="593"/>
      <c r="C100" s="593"/>
      <c r="D100" s="589"/>
      <c r="E100" s="589"/>
      <c r="F100" s="589"/>
      <c r="G100" s="589"/>
      <c r="H100" s="589"/>
      <c r="I100" s="589"/>
      <c r="J100" s="589"/>
      <c r="K100" s="589"/>
      <c r="L100" s="589"/>
      <c r="M100" s="589"/>
      <c r="N100" s="589"/>
      <c r="O100" s="589"/>
      <c r="P100" s="589"/>
      <c r="Q100" s="589"/>
      <c r="R100" s="589"/>
      <c r="S100" s="589"/>
      <c r="T100" s="589"/>
      <c r="U100" s="589"/>
      <c r="V100" s="394"/>
      <c r="W100" s="394"/>
      <c r="X100" s="394"/>
      <c r="Y100" s="394"/>
      <c r="Z100" s="394"/>
      <c r="AA100" s="394"/>
      <c r="AB100" s="394"/>
    </row>
    <row r="101" ht="15.6" spans="1:28">
      <c r="A101" s="589"/>
      <c r="B101" s="593"/>
      <c r="C101" s="593"/>
      <c r="D101" s="589"/>
      <c r="E101" s="589"/>
      <c r="F101" s="589"/>
      <c r="G101" s="589"/>
      <c r="H101" s="589"/>
      <c r="I101" s="589"/>
      <c r="J101" s="589"/>
      <c r="K101" s="589"/>
      <c r="L101" s="589"/>
      <c r="M101" s="589"/>
      <c r="N101" s="589"/>
      <c r="O101" s="589"/>
      <c r="P101" s="589"/>
      <c r="Q101" s="589"/>
      <c r="R101" s="589"/>
      <c r="S101" s="589"/>
      <c r="T101" s="589"/>
      <c r="U101" s="589"/>
      <c r="V101" s="394"/>
      <c r="W101" s="394"/>
      <c r="X101" s="394"/>
      <c r="Y101" s="394"/>
      <c r="Z101" s="394"/>
      <c r="AA101" s="394"/>
      <c r="AB101" s="394"/>
    </row>
    <row r="102" ht="15.6" spans="1:28">
      <c r="A102" s="589"/>
      <c r="B102" s="593"/>
      <c r="C102" s="593"/>
      <c r="D102" s="589"/>
      <c r="E102" s="589"/>
      <c r="F102" s="589"/>
      <c r="G102" s="589"/>
      <c r="H102" s="589"/>
      <c r="I102" s="589"/>
      <c r="J102" s="589"/>
      <c r="K102" s="589"/>
      <c r="L102" s="589"/>
      <c r="M102" s="589"/>
      <c r="N102" s="589"/>
      <c r="O102" s="589"/>
      <c r="P102" s="589"/>
      <c r="Q102" s="589"/>
      <c r="R102" s="589"/>
      <c r="S102" s="589"/>
      <c r="T102" s="589"/>
      <c r="U102" s="589"/>
      <c r="V102" s="394"/>
      <c r="W102" s="394"/>
      <c r="X102" s="394"/>
      <c r="Y102" s="394"/>
      <c r="Z102" s="394"/>
      <c r="AA102" s="394"/>
      <c r="AB102" s="394"/>
    </row>
    <row r="103" ht="15.6" spans="1:28">
      <c r="A103" s="589"/>
      <c r="B103" s="593"/>
      <c r="C103" s="593"/>
      <c r="D103" s="589"/>
      <c r="E103" s="589"/>
      <c r="F103" s="589"/>
      <c r="G103" s="589"/>
      <c r="H103" s="589"/>
      <c r="I103" s="589"/>
      <c r="J103" s="589"/>
      <c r="K103" s="589"/>
      <c r="L103" s="589"/>
      <c r="M103" s="589"/>
      <c r="N103" s="589"/>
      <c r="O103" s="589"/>
      <c r="P103" s="589"/>
      <c r="Q103" s="589"/>
      <c r="R103" s="589"/>
      <c r="S103" s="589"/>
      <c r="T103" s="589"/>
      <c r="U103" s="589"/>
      <c r="V103" s="394"/>
      <c r="W103" s="394"/>
      <c r="X103" s="394"/>
      <c r="Y103" s="394"/>
      <c r="Z103" s="394"/>
      <c r="AA103" s="394"/>
      <c r="AB103" s="394"/>
    </row>
    <row r="104" ht="15.6" spans="1:28">
      <c r="A104" s="394"/>
      <c r="D104" s="394"/>
      <c r="E104" s="394"/>
      <c r="F104" s="394"/>
      <c r="G104" s="394"/>
      <c r="H104" s="394"/>
      <c r="I104" s="394"/>
      <c r="J104" s="394"/>
      <c r="K104" s="394"/>
      <c r="L104" s="394"/>
      <c r="M104" s="394"/>
      <c r="N104" s="394"/>
      <c r="O104" s="394"/>
      <c r="P104" s="394"/>
      <c r="Q104" s="394"/>
      <c r="R104" s="394"/>
      <c r="S104" s="394"/>
      <c r="T104" s="394"/>
      <c r="U104" s="394"/>
      <c r="V104" s="394"/>
      <c r="W104" s="394"/>
      <c r="X104" s="394"/>
      <c r="Y104" s="394"/>
      <c r="Z104" s="394"/>
      <c r="AA104" s="394"/>
      <c r="AB104" s="394"/>
    </row>
    <row r="105" ht="15.6" spans="1:28">
      <c r="A105" s="394"/>
      <c r="D105" s="394"/>
      <c r="E105" s="394"/>
      <c r="F105" s="394"/>
      <c r="G105" s="394"/>
      <c r="H105" s="394"/>
      <c r="I105" s="394"/>
      <c r="J105" s="394"/>
      <c r="K105" s="394"/>
      <c r="L105" s="394"/>
      <c r="M105" s="394"/>
      <c r="N105" s="394"/>
      <c r="O105" s="394"/>
      <c r="P105" s="394"/>
      <c r="Q105" s="394"/>
      <c r="R105" s="394"/>
      <c r="S105" s="394"/>
      <c r="T105" s="394"/>
      <c r="U105" s="394"/>
      <c r="V105" s="394"/>
      <c r="W105" s="394"/>
      <c r="X105" s="394"/>
      <c r="Y105" s="394"/>
      <c r="Z105" s="394"/>
      <c r="AA105" s="394"/>
      <c r="AB105" s="394"/>
    </row>
    <row r="106" ht="15.6" spans="1:28">
      <c r="A106" s="394"/>
      <c r="D106" s="394"/>
      <c r="E106" s="394"/>
      <c r="F106" s="394"/>
      <c r="G106" s="394"/>
      <c r="H106" s="394"/>
      <c r="I106" s="394"/>
      <c r="J106" s="394"/>
      <c r="K106" s="394"/>
      <c r="L106" s="394"/>
      <c r="M106" s="394"/>
      <c r="N106" s="394"/>
      <c r="O106" s="394"/>
      <c r="P106" s="394"/>
      <c r="Q106" s="394"/>
      <c r="R106" s="394"/>
      <c r="S106" s="394"/>
      <c r="T106" s="394"/>
      <c r="U106" s="394"/>
      <c r="V106" s="394"/>
      <c r="W106" s="394"/>
      <c r="X106" s="394"/>
      <c r="Y106" s="394"/>
      <c r="Z106" s="394"/>
      <c r="AA106" s="394"/>
      <c r="AB106" s="394"/>
    </row>
    <row r="107" ht="15.6" spans="1:28">
      <c r="A107" s="394"/>
      <c r="D107" s="394"/>
      <c r="E107" s="394"/>
      <c r="F107" s="394"/>
      <c r="G107" s="394"/>
      <c r="H107" s="394"/>
      <c r="I107" s="394"/>
      <c r="J107" s="394"/>
      <c r="K107" s="394"/>
      <c r="L107" s="394"/>
      <c r="M107" s="394"/>
      <c r="N107" s="394"/>
      <c r="O107" s="394"/>
      <c r="P107" s="394"/>
      <c r="Q107" s="394"/>
      <c r="R107" s="394"/>
      <c r="S107" s="394"/>
      <c r="T107" s="394"/>
      <c r="U107" s="394"/>
      <c r="V107" s="394"/>
      <c r="W107" s="394"/>
      <c r="X107" s="394"/>
      <c r="Y107" s="394"/>
      <c r="Z107" s="394"/>
      <c r="AA107" s="394"/>
      <c r="AB107" s="394"/>
    </row>
    <row r="108" ht="15.6" spans="1:28">
      <c r="A108" s="394"/>
      <c r="D108" s="394"/>
      <c r="E108" s="394"/>
      <c r="F108" s="394"/>
      <c r="G108" s="394"/>
      <c r="H108" s="394"/>
      <c r="I108" s="394"/>
      <c r="J108" s="394"/>
      <c r="K108" s="394"/>
      <c r="L108" s="394"/>
      <c r="M108" s="394"/>
      <c r="N108" s="394"/>
      <c r="O108" s="394"/>
      <c r="P108" s="394"/>
      <c r="Q108" s="394"/>
      <c r="R108" s="394"/>
      <c r="S108" s="394"/>
      <c r="T108" s="394"/>
      <c r="U108" s="394"/>
      <c r="V108" s="394"/>
      <c r="W108" s="394"/>
      <c r="X108" s="394"/>
      <c r="Y108" s="394"/>
      <c r="Z108" s="394"/>
      <c r="AA108" s="394"/>
      <c r="AB108" s="394"/>
    </row>
    <row r="109" ht="15.6" spans="1:28">
      <c r="A109" s="394"/>
      <c r="D109" s="394"/>
      <c r="E109" s="394"/>
      <c r="F109" s="394"/>
      <c r="G109" s="394"/>
      <c r="H109" s="394"/>
      <c r="I109" s="394"/>
      <c r="J109" s="394"/>
      <c r="K109" s="394"/>
      <c r="L109" s="394"/>
      <c r="M109" s="394"/>
      <c r="N109" s="394"/>
      <c r="O109" s="394"/>
      <c r="P109" s="394"/>
      <c r="Q109" s="394"/>
      <c r="R109" s="394"/>
      <c r="S109" s="394"/>
      <c r="T109" s="394"/>
      <c r="U109" s="394"/>
      <c r="V109" s="394"/>
      <c r="W109" s="394"/>
      <c r="X109" s="394"/>
      <c r="Y109" s="394"/>
      <c r="Z109" s="394"/>
      <c r="AA109" s="394"/>
      <c r="AB109" s="394"/>
    </row>
    <row r="110" ht="15.6" spans="1:28">
      <c r="A110" s="394"/>
      <c r="D110" s="394"/>
      <c r="E110" s="394"/>
      <c r="F110" s="394"/>
      <c r="G110" s="394"/>
      <c r="H110" s="394"/>
      <c r="I110" s="394"/>
      <c r="J110" s="394"/>
      <c r="K110" s="394"/>
      <c r="L110" s="394"/>
      <c r="M110" s="394"/>
      <c r="N110" s="394"/>
      <c r="O110" s="394"/>
      <c r="P110" s="394"/>
      <c r="Q110" s="394"/>
      <c r="R110" s="394"/>
      <c r="S110" s="394"/>
      <c r="T110" s="394"/>
      <c r="U110" s="394"/>
      <c r="V110" s="394"/>
      <c r="W110" s="394"/>
      <c r="X110" s="394"/>
      <c r="Y110" s="394"/>
      <c r="Z110" s="394"/>
      <c r="AA110" s="394"/>
      <c r="AB110" s="394"/>
    </row>
    <row r="111" ht="15.6" spans="1:28">
      <c r="A111" s="394"/>
      <c r="B111" s="394"/>
      <c r="C111" s="394"/>
      <c r="D111" s="594"/>
      <c r="E111" s="394"/>
      <c r="F111" s="394"/>
      <c r="G111" s="394"/>
      <c r="H111" s="394"/>
      <c r="I111" s="394"/>
      <c r="J111" s="394"/>
      <c r="K111" s="394"/>
      <c r="L111" s="394"/>
      <c r="M111" s="394"/>
      <c r="N111" s="394"/>
      <c r="O111" s="394"/>
      <c r="P111" s="394"/>
      <c r="Q111" s="394"/>
      <c r="R111" s="394"/>
      <c r="S111" s="394"/>
      <c r="T111" s="394"/>
      <c r="U111" s="394"/>
      <c r="V111" s="394"/>
      <c r="W111" s="394"/>
      <c r="X111" s="394"/>
      <c r="Y111" s="394"/>
      <c r="Z111" s="394"/>
      <c r="AA111" s="394"/>
      <c r="AB111" s="394"/>
    </row>
    <row r="112" ht="15.6" spans="1:28">
      <c r="A112" s="394"/>
      <c r="B112" s="394" t="s">
        <v>55</v>
      </c>
      <c r="C112" s="394"/>
      <c r="D112" s="394"/>
      <c r="E112" s="394"/>
      <c r="F112" s="394"/>
      <c r="G112" s="394"/>
      <c r="H112" s="394"/>
      <c r="I112" s="394"/>
      <c r="J112" s="394"/>
      <c r="K112" s="394"/>
      <c r="L112" s="394"/>
      <c r="M112" s="394"/>
      <c r="N112" s="394"/>
      <c r="O112" s="394"/>
      <c r="P112" s="394"/>
      <c r="Q112" s="394"/>
      <c r="R112" s="394"/>
      <c r="S112" s="394"/>
      <c r="T112" s="394"/>
      <c r="U112" s="394"/>
      <c r="V112" s="394"/>
      <c r="W112" s="394"/>
      <c r="X112" s="394"/>
      <c r="Y112" s="394"/>
      <c r="Z112" s="394"/>
      <c r="AA112" s="394"/>
      <c r="AB112" s="394"/>
    </row>
    <row r="113" ht="15.6" spans="1:28">
      <c r="A113" s="394"/>
      <c r="B113" s="394"/>
      <c r="C113" s="394"/>
      <c r="D113" s="394"/>
      <c r="E113" s="394"/>
      <c r="F113" s="394"/>
      <c r="G113" s="394"/>
      <c r="H113" s="394"/>
      <c r="I113" s="394"/>
      <c r="J113" s="394"/>
      <c r="K113" s="394"/>
      <c r="L113" s="394"/>
      <c r="M113" s="394"/>
      <c r="N113" s="394"/>
      <c r="O113" s="394"/>
      <c r="P113" s="394"/>
      <c r="Q113" s="394"/>
      <c r="R113" s="394"/>
      <c r="S113" s="394"/>
      <c r="T113" s="394"/>
      <c r="U113" s="394"/>
      <c r="V113" s="394"/>
      <c r="W113" s="394"/>
      <c r="X113" s="394"/>
      <c r="Y113" s="394"/>
      <c r="Z113" s="394"/>
      <c r="AA113" s="394"/>
      <c r="AB113" s="394"/>
    </row>
    <row r="114" ht="15.6" spans="1:28">
      <c r="A114" s="394"/>
      <c r="B114" s="394" t="s">
        <v>56</v>
      </c>
      <c r="C114" s="394"/>
      <c r="D114" s="595"/>
      <c r="E114" s="595"/>
      <c r="F114" s="595"/>
      <c r="G114" s="595"/>
      <c r="H114" s="595"/>
      <c r="I114" s="595"/>
      <c r="J114" s="595"/>
      <c r="K114" s="595"/>
      <c r="L114" s="595"/>
      <c r="M114" s="595"/>
      <c r="N114" s="622"/>
      <c r="O114" s="394"/>
      <c r="P114" s="622"/>
      <c r="Q114" s="622"/>
      <c r="R114" s="394"/>
      <c r="S114" s="394"/>
      <c r="T114" s="394"/>
      <c r="U114" s="394"/>
      <c r="V114" s="394"/>
      <c r="W114" s="394"/>
      <c r="X114" s="394"/>
      <c r="Y114" s="394"/>
      <c r="Z114" s="394"/>
      <c r="AA114" s="394"/>
      <c r="AB114" s="394"/>
    </row>
    <row r="115" ht="16.35" spans="1:28">
      <c r="A115" s="394"/>
      <c r="B115" s="394" t="s">
        <v>57</v>
      </c>
      <c r="C115" s="394"/>
      <c r="D115" s="596"/>
      <c r="E115" s="596"/>
      <c r="F115" s="596"/>
      <c r="G115" s="596"/>
      <c r="H115" s="596"/>
      <c r="I115" s="596"/>
      <c r="J115" s="623"/>
      <c r="K115" s="623"/>
      <c r="L115" s="623"/>
      <c r="M115" s="595"/>
      <c r="N115" s="622"/>
      <c r="O115" s="394"/>
      <c r="P115" s="595"/>
      <c r="Q115" s="622"/>
      <c r="R115" s="394"/>
      <c r="S115" s="394"/>
      <c r="T115" s="394"/>
      <c r="U115" s="394"/>
      <c r="V115" s="394"/>
      <c r="W115" s="394"/>
      <c r="X115" s="394"/>
      <c r="Y115" s="394"/>
      <c r="Z115" s="394"/>
      <c r="AA115" s="394"/>
      <c r="AB115" s="394"/>
    </row>
    <row r="116" ht="16.35" spans="2:28">
      <c r="B116" s="597">
        <f>D13*D14</f>
        <v>45</v>
      </c>
      <c r="C116" s="598">
        <f>1+D13+D14*0.2</f>
        <v>7</v>
      </c>
      <c r="D116" s="599" t="s">
        <v>58</v>
      </c>
      <c r="E116" s="599"/>
      <c r="F116" s="600">
        <f>1500</f>
        <v>1500</v>
      </c>
      <c r="G116" s="600">
        <f>1000</f>
        <v>1000</v>
      </c>
      <c r="H116" s="601">
        <v>1000</v>
      </c>
      <c r="I116" s="600">
        <v>0.5</v>
      </c>
      <c r="J116" s="624">
        <f>1200</f>
        <v>1200</v>
      </c>
      <c r="K116" s="600">
        <f>IF(G8=2,1000,3000)</f>
        <v>3000</v>
      </c>
      <c r="L116" s="99">
        <v>60</v>
      </c>
      <c r="M116" s="600">
        <v>36000</v>
      </c>
      <c r="P116" s="394"/>
      <c r="Q116" s="394"/>
      <c r="R116" s="394"/>
      <c r="S116" s="394"/>
      <c r="T116" s="394"/>
      <c r="U116" s="394"/>
      <c r="V116" s="394"/>
      <c r="W116" s="394"/>
      <c r="X116" s="394"/>
      <c r="Y116" s="394"/>
      <c r="Z116" s="394"/>
      <c r="AA116" s="394"/>
      <c r="AB116" s="394"/>
    </row>
    <row r="117" ht="16.35" spans="1:28">
      <c r="A117" s="394"/>
      <c r="B117" s="598" t="s">
        <v>59</v>
      </c>
      <c r="C117" s="602"/>
      <c r="D117" s="603" t="s">
        <v>60</v>
      </c>
      <c r="E117" s="603"/>
      <c r="F117" s="603" t="s">
        <v>61</v>
      </c>
      <c r="G117" s="603" t="s">
        <v>62</v>
      </c>
      <c r="H117" s="604" t="s">
        <v>63</v>
      </c>
      <c r="I117" s="603" t="s">
        <v>64</v>
      </c>
      <c r="J117" s="604" t="s">
        <v>23</v>
      </c>
      <c r="K117" s="603" t="s">
        <v>28</v>
      </c>
      <c r="L117" s="49" t="s">
        <v>65</v>
      </c>
      <c r="M117" s="603" t="s">
        <v>66</v>
      </c>
      <c r="O117" s="394"/>
      <c r="P117" s="394"/>
      <c r="Q117" s="394"/>
      <c r="R117" s="394"/>
      <c r="S117" s="394"/>
      <c r="T117" s="394"/>
      <c r="U117" s="394"/>
      <c r="V117" s="394"/>
      <c r="W117" s="394"/>
      <c r="X117" s="394"/>
      <c r="Y117" s="394"/>
      <c r="Z117" s="394"/>
      <c r="AA117" s="394"/>
      <c r="AB117" s="394"/>
    </row>
    <row r="118" ht="16.35" spans="1:28">
      <c r="A118" s="394"/>
      <c r="B118" s="598"/>
      <c r="C118" s="602"/>
      <c r="D118" s="603" t="s">
        <v>67</v>
      </c>
      <c r="E118" s="605" t="s">
        <v>68</v>
      </c>
      <c r="F118" s="604"/>
      <c r="G118" s="606"/>
      <c r="H118" s="604">
        <f>H116*D10/100</f>
        <v>1300</v>
      </c>
      <c r="I118" s="603">
        <f>D9*I116/100</f>
        <v>0</v>
      </c>
      <c r="J118" s="604">
        <f>J116*5.9/C116</f>
        <v>1011.42857142857</v>
      </c>
      <c r="K118" s="603">
        <f>D13*J118</f>
        <v>3034.28571428571</v>
      </c>
      <c r="L118" s="105">
        <f>L116*D11/100</f>
        <v>12</v>
      </c>
      <c r="M118" s="603">
        <f>D14*K118</f>
        <v>45514.2857142857</v>
      </c>
      <c r="O118" s="394"/>
      <c r="P118" s="394"/>
      <c r="Q118" s="394"/>
      <c r="R118" s="394"/>
      <c r="S118" s="394"/>
      <c r="T118" s="394"/>
      <c r="U118" s="394"/>
      <c r="V118" s="394"/>
      <c r="W118" s="394"/>
      <c r="X118" s="394"/>
      <c r="Y118" s="394"/>
      <c r="Z118" s="394"/>
      <c r="AA118" s="394"/>
      <c r="AB118" s="394"/>
    </row>
    <row r="119" ht="16.35" spans="1:28">
      <c r="A119" s="394"/>
      <c r="B119" s="394"/>
      <c r="C119" s="394"/>
      <c r="D119" s="394"/>
      <c r="E119" s="394"/>
      <c r="F119" s="394"/>
      <c r="G119" s="394"/>
      <c r="H119" s="394"/>
      <c r="I119" s="394"/>
      <c r="J119" s="394"/>
      <c r="K119" s="394"/>
      <c r="L119" s="394"/>
      <c r="M119" s="394"/>
      <c r="N119" s="394"/>
      <c r="O119" s="394"/>
      <c r="P119" s="394"/>
      <c r="Q119" s="394"/>
      <c r="R119" s="394"/>
      <c r="S119" s="394"/>
      <c r="T119" s="394"/>
      <c r="U119" s="394"/>
      <c r="V119" s="394"/>
      <c r="W119" s="394"/>
      <c r="X119" s="394"/>
      <c r="Y119" s="394"/>
      <c r="Z119" s="394"/>
      <c r="AA119" s="394"/>
      <c r="AB119" s="394"/>
    </row>
    <row r="120" ht="15.6" spans="1:28">
      <c r="A120" s="394"/>
      <c r="B120" s="607" t="s">
        <v>69</v>
      </c>
      <c r="C120" s="608"/>
      <c r="D120" s="608"/>
      <c r="E120" s="608"/>
      <c r="F120" s="608"/>
      <c r="G120" s="608"/>
      <c r="H120" s="608"/>
      <c r="I120" s="608"/>
      <c r="J120" s="608"/>
      <c r="K120" s="608"/>
      <c r="L120" s="608"/>
      <c r="M120" s="608"/>
      <c r="N120" s="608"/>
      <c r="O120" s="625"/>
      <c r="P120" s="613"/>
      <c r="Q120" s="613"/>
      <c r="R120" s="394"/>
      <c r="S120" s="613"/>
      <c r="T120" s="613"/>
      <c r="U120" s="613"/>
      <c r="V120" s="394"/>
      <c r="W120" s="394"/>
      <c r="X120" s="394"/>
      <c r="Y120" s="394"/>
      <c r="Z120" s="394"/>
      <c r="AA120" s="394"/>
      <c r="AB120" s="394"/>
    </row>
    <row r="121" ht="15.6" spans="1:28">
      <c r="A121" s="394"/>
      <c r="B121" s="609"/>
      <c r="C121" s="610"/>
      <c r="D121" s="610"/>
      <c r="E121" s="610"/>
      <c r="F121" s="610"/>
      <c r="G121" s="610"/>
      <c r="H121" s="610"/>
      <c r="I121" s="610"/>
      <c r="J121" s="610"/>
      <c r="K121" s="610"/>
      <c r="L121" s="610"/>
      <c r="M121" s="610"/>
      <c r="N121" s="610"/>
      <c r="O121" s="626"/>
      <c r="P121" s="613"/>
      <c r="Q121" s="613"/>
      <c r="R121" s="394"/>
      <c r="S121" s="613"/>
      <c r="T121" s="613"/>
      <c r="U121" s="613"/>
      <c r="V121" s="394"/>
      <c r="W121" s="394"/>
      <c r="X121" s="394"/>
      <c r="Y121" s="394"/>
      <c r="Z121" s="394"/>
      <c r="AA121" s="394"/>
      <c r="AB121" s="394"/>
    </row>
    <row r="122" ht="15.6" spans="1:28">
      <c r="A122" s="394"/>
      <c r="B122" s="609"/>
      <c r="C122" s="610"/>
      <c r="D122" s="610"/>
      <c r="E122" s="610"/>
      <c r="F122" s="610"/>
      <c r="G122" s="610"/>
      <c r="H122" s="610"/>
      <c r="I122" s="610"/>
      <c r="J122" s="610"/>
      <c r="K122" s="610"/>
      <c r="L122" s="610"/>
      <c r="M122" s="610"/>
      <c r="N122" s="610"/>
      <c r="O122" s="626"/>
      <c r="P122" s="613"/>
      <c r="Q122" s="613"/>
      <c r="R122" s="394"/>
      <c r="S122" s="613"/>
      <c r="T122" s="613"/>
      <c r="U122" s="613"/>
      <c r="V122" s="394"/>
      <c r="W122" s="394"/>
      <c r="X122" s="394"/>
      <c r="Y122" s="394"/>
      <c r="Z122" s="394"/>
      <c r="AA122" s="394"/>
      <c r="AB122" s="394"/>
    </row>
    <row r="123" ht="15.6" spans="1:28">
      <c r="A123" s="394"/>
      <c r="B123" s="609"/>
      <c r="C123" s="610"/>
      <c r="D123" s="610"/>
      <c r="E123" s="610"/>
      <c r="F123" s="610"/>
      <c r="G123" s="610"/>
      <c r="H123" s="610"/>
      <c r="I123" s="610"/>
      <c r="J123" s="610"/>
      <c r="K123" s="610"/>
      <c r="L123" s="610"/>
      <c r="M123" s="610"/>
      <c r="N123" s="610"/>
      <c r="O123" s="626"/>
      <c r="P123" s="613"/>
      <c r="Q123" s="613"/>
      <c r="R123" s="394"/>
      <c r="S123" s="613"/>
      <c r="T123" s="613"/>
      <c r="U123" s="613"/>
      <c r="V123" s="394"/>
      <c r="W123" s="394"/>
      <c r="X123" s="394"/>
      <c r="Y123" s="394"/>
      <c r="Z123" s="394"/>
      <c r="AA123" s="394"/>
      <c r="AB123" s="394"/>
    </row>
    <row r="124" ht="15.6" spans="1:28">
      <c r="A124" s="394"/>
      <c r="B124" s="609"/>
      <c r="C124" s="610"/>
      <c r="D124" s="610"/>
      <c r="E124" s="610"/>
      <c r="F124" s="610"/>
      <c r="G124" s="610"/>
      <c r="H124" s="610"/>
      <c r="I124" s="610"/>
      <c r="J124" s="610"/>
      <c r="K124" s="610"/>
      <c r="L124" s="610"/>
      <c r="M124" s="610"/>
      <c r="N124" s="610"/>
      <c r="O124" s="626"/>
      <c r="P124" s="613"/>
      <c r="Q124" s="613"/>
      <c r="R124" s="394"/>
      <c r="S124" s="613"/>
      <c r="T124" s="613"/>
      <c r="U124" s="613"/>
      <c r="V124" s="394"/>
      <c r="W124" s="394"/>
      <c r="X124" s="394"/>
      <c r="Y124" s="394"/>
      <c r="Z124" s="394"/>
      <c r="AA124" s="394"/>
      <c r="AB124" s="394"/>
    </row>
    <row r="125" ht="15.6" spans="1:28">
      <c r="A125" s="394"/>
      <c r="B125" s="609"/>
      <c r="C125" s="610"/>
      <c r="D125" s="610"/>
      <c r="E125" s="610"/>
      <c r="F125" s="610"/>
      <c r="G125" s="610"/>
      <c r="H125" s="610"/>
      <c r="I125" s="610"/>
      <c r="J125" s="610"/>
      <c r="K125" s="610"/>
      <c r="L125" s="610"/>
      <c r="M125" s="610"/>
      <c r="N125" s="610"/>
      <c r="O125" s="626"/>
      <c r="P125" s="613"/>
      <c r="Q125" s="613"/>
      <c r="R125" s="394"/>
      <c r="S125" s="613"/>
      <c r="T125" s="613"/>
      <c r="U125" s="613"/>
      <c r="V125" s="394"/>
      <c r="W125" s="394"/>
      <c r="X125" s="394"/>
      <c r="Y125" s="394"/>
      <c r="Z125" s="394"/>
      <c r="AA125" s="394"/>
      <c r="AB125" s="394"/>
    </row>
    <row r="126" ht="16.35" spans="1:28">
      <c r="A126" s="394"/>
      <c r="B126" s="611"/>
      <c r="C126" s="612"/>
      <c r="D126" s="612"/>
      <c r="E126" s="612"/>
      <c r="F126" s="612"/>
      <c r="G126" s="612"/>
      <c r="H126" s="612"/>
      <c r="I126" s="612"/>
      <c r="J126" s="612"/>
      <c r="K126" s="612"/>
      <c r="L126" s="612"/>
      <c r="M126" s="612"/>
      <c r="N126" s="612"/>
      <c r="O126" s="627"/>
      <c r="P126" s="613"/>
      <c r="Q126" s="613"/>
      <c r="R126" s="394"/>
      <c r="S126" s="613"/>
      <c r="T126" s="613"/>
      <c r="U126" s="613"/>
      <c r="V126" s="394"/>
      <c r="W126" s="394"/>
      <c r="X126" s="394"/>
      <c r="Y126" s="394"/>
      <c r="Z126" s="394"/>
      <c r="AA126" s="394"/>
      <c r="AB126" s="394"/>
    </row>
    <row r="127" ht="16.35" spans="1:28">
      <c r="A127" s="394"/>
      <c r="B127" s="613"/>
      <c r="C127" s="613"/>
      <c r="D127" s="613"/>
      <c r="E127" s="613"/>
      <c r="F127" s="613"/>
      <c r="G127" s="613"/>
      <c r="H127" s="613"/>
      <c r="I127" s="613"/>
      <c r="J127" s="613"/>
      <c r="K127" s="613"/>
      <c r="L127" s="613"/>
      <c r="M127" s="613"/>
      <c r="N127" s="613"/>
      <c r="O127" s="613"/>
      <c r="P127" s="613"/>
      <c r="Q127" s="613"/>
      <c r="R127" s="394"/>
      <c r="S127" s="613"/>
      <c r="T127" s="613"/>
      <c r="U127" s="613"/>
      <c r="V127" s="394"/>
      <c r="W127" s="394"/>
      <c r="X127" s="394"/>
      <c r="Y127" s="394"/>
      <c r="Z127" s="394"/>
      <c r="AA127" s="394"/>
      <c r="AB127" s="394"/>
    </row>
    <row r="128" ht="15.6" spans="1:28">
      <c r="A128" s="394"/>
      <c r="B128" s="614" t="s">
        <v>70</v>
      </c>
      <c r="C128" s="615"/>
      <c r="D128" s="615"/>
      <c r="E128" s="615"/>
      <c r="F128" s="615"/>
      <c r="G128" s="615"/>
      <c r="H128" s="615"/>
      <c r="I128" s="615"/>
      <c r="J128" s="615"/>
      <c r="K128" s="615"/>
      <c r="L128" s="615"/>
      <c r="M128" s="615"/>
      <c r="N128" s="615"/>
      <c r="O128" s="628"/>
      <c r="P128" s="613"/>
      <c r="Q128" s="613"/>
      <c r="R128" s="394"/>
      <c r="S128" s="613"/>
      <c r="T128" s="613"/>
      <c r="U128" s="613"/>
      <c r="V128" s="394"/>
      <c r="W128" s="394"/>
      <c r="X128" s="394"/>
      <c r="Y128" s="394"/>
      <c r="Z128" s="394"/>
      <c r="AA128" s="394"/>
      <c r="AB128" s="394"/>
    </row>
    <row r="129" ht="15.6" spans="1:28">
      <c r="A129" s="394"/>
      <c r="B129" s="633"/>
      <c r="C129" s="613"/>
      <c r="D129" s="613"/>
      <c r="E129" s="613"/>
      <c r="F129" s="613"/>
      <c r="G129" s="613"/>
      <c r="H129" s="613"/>
      <c r="I129" s="613"/>
      <c r="J129" s="613"/>
      <c r="K129" s="613"/>
      <c r="L129" s="613"/>
      <c r="M129" s="613"/>
      <c r="N129" s="613"/>
      <c r="O129" s="646"/>
      <c r="P129" s="613"/>
      <c r="Q129" s="613"/>
      <c r="R129" s="394"/>
      <c r="S129" s="613"/>
      <c r="T129" s="613"/>
      <c r="U129" s="613"/>
      <c r="V129" s="394"/>
      <c r="W129" s="394"/>
      <c r="X129" s="394"/>
      <c r="Y129" s="394"/>
      <c r="Z129" s="394"/>
      <c r="AA129" s="394"/>
      <c r="AB129" s="394"/>
    </row>
    <row r="130" ht="15.6" spans="1:28">
      <c r="A130" s="394"/>
      <c r="B130" s="633"/>
      <c r="C130" s="613"/>
      <c r="D130" s="613"/>
      <c r="E130" s="613"/>
      <c r="F130" s="613"/>
      <c r="G130" s="613"/>
      <c r="H130" s="613"/>
      <c r="I130" s="613"/>
      <c r="J130" s="613"/>
      <c r="K130" s="613"/>
      <c r="L130" s="613"/>
      <c r="M130" s="613"/>
      <c r="N130" s="613"/>
      <c r="O130" s="646"/>
      <c r="P130" s="613"/>
      <c r="Q130" s="613"/>
      <c r="R130" s="394"/>
      <c r="S130" s="613"/>
      <c r="T130" s="613"/>
      <c r="U130" s="613"/>
      <c r="V130" s="394"/>
      <c r="W130" s="394"/>
      <c r="X130" s="394"/>
      <c r="Y130" s="394"/>
      <c r="Z130" s="394"/>
      <c r="AA130" s="394"/>
      <c r="AB130" s="394"/>
    </row>
    <row r="131" ht="15.6" spans="1:28">
      <c r="A131" s="394"/>
      <c r="B131" s="633"/>
      <c r="C131" s="613"/>
      <c r="D131" s="613"/>
      <c r="E131" s="613"/>
      <c r="F131" s="613"/>
      <c r="G131" s="613"/>
      <c r="H131" s="613"/>
      <c r="I131" s="613"/>
      <c r="J131" s="613"/>
      <c r="K131" s="613"/>
      <c r="L131" s="613"/>
      <c r="M131" s="613"/>
      <c r="N131" s="613"/>
      <c r="O131" s="646"/>
      <c r="P131" s="394"/>
      <c r="Q131" s="394"/>
      <c r="R131" s="394"/>
      <c r="S131" s="394"/>
      <c r="T131" s="394"/>
      <c r="U131" s="394"/>
      <c r="V131" s="394"/>
      <c r="W131" s="394"/>
      <c r="X131" s="394"/>
      <c r="Y131" s="394"/>
      <c r="Z131" s="394"/>
      <c r="AA131" s="394"/>
      <c r="AB131" s="394"/>
    </row>
    <row r="132" ht="16.35" spans="1:28">
      <c r="A132" s="394"/>
      <c r="B132" s="634"/>
      <c r="C132" s="635"/>
      <c r="D132" s="635"/>
      <c r="E132" s="635"/>
      <c r="F132" s="635"/>
      <c r="G132" s="635"/>
      <c r="H132" s="635"/>
      <c r="I132" s="635"/>
      <c r="J132" s="635"/>
      <c r="K132" s="635"/>
      <c r="L132" s="635"/>
      <c r="M132" s="635"/>
      <c r="N132" s="635"/>
      <c r="O132" s="647"/>
      <c r="P132" s="394"/>
      <c r="Q132" s="394"/>
      <c r="R132" s="394"/>
      <c r="S132" s="394"/>
      <c r="T132" s="394"/>
      <c r="U132" s="394"/>
      <c r="V132" s="394"/>
      <c r="W132" s="394"/>
      <c r="X132" s="394"/>
      <c r="Y132" s="394"/>
      <c r="Z132" s="394"/>
      <c r="AA132" s="394"/>
      <c r="AB132" s="394"/>
    </row>
    <row r="133" ht="16.35" spans="1:28">
      <c r="A133" s="394"/>
      <c r="B133" s="394"/>
      <c r="C133" s="394"/>
      <c r="D133" s="394"/>
      <c r="E133" s="394"/>
      <c r="F133" s="394"/>
      <c r="G133" s="394"/>
      <c r="H133" s="394"/>
      <c r="I133" s="394"/>
      <c r="J133" s="394"/>
      <c r="K133" s="394"/>
      <c r="L133" s="394"/>
      <c r="M133" s="394"/>
      <c r="N133" s="394"/>
      <c r="O133" s="394"/>
      <c r="P133" s="394"/>
      <c r="Q133" s="394"/>
      <c r="R133" s="394"/>
      <c r="S133" s="394"/>
      <c r="T133" s="394"/>
      <c r="U133" s="394"/>
      <c r="V133" s="394"/>
      <c r="W133" s="394"/>
      <c r="X133" s="394"/>
      <c r="Y133" s="394"/>
      <c r="Z133" s="394"/>
      <c r="AA133" s="394"/>
      <c r="AB133" s="394"/>
    </row>
    <row r="134" ht="15.6" spans="1:28">
      <c r="A134" s="394"/>
      <c r="B134" s="636" t="s">
        <v>71</v>
      </c>
      <c r="C134" s="637"/>
      <c r="D134" s="637"/>
      <c r="E134" s="637"/>
      <c r="F134" s="637"/>
      <c r="G134" s="637"/>
      <c r="H134" s="637"/>
      <c r="I134" s="637"/>
      <c r="J134" s="637"/>
      <c r="K134" s="637"/>
      <c r="L134" s="637"/>
      <c r="M134" s="637"/>
      <c r="N134" s="637"/>
      <c r="O134" s="648"/>
      <c r="P134" s="394"/>
      <c r="Q134" s="394"/>
      <c r="R134" s="394"/>
      <c r="S134" s="394"/>
      <c r="T134" s="394"/>
      <c r="U134" s="394"/>
      <c r="V134" s="394"/>
      <c r="W134" s="394"/>
      <c r="X134" s="394"/>
      <c r="Y134" s="394"/>
      <c r="Z134" s="394"/>
      <c r="AA134" s="394"/>
      <c r="AB134" s="394"/>
    </row>
    <row r="135" ht="15.6" spans="1:28">
      <c r="A135" s="394"/>
      <c r="B135" s="638" t="s">
        <v>72</v>
      </c>
      <c r="C135" s="639"/>
      <c r="D135" s="639"/>
      <c r="E135" s="639"/>
      <c r="F135" s="639"/>
      <c r="G135" s="639"/>
      <c r="H135" s="639"/>
      <c r="I135" s="639"/>
      <c r="J135" s="639"/>
      <c r="K135" s="639"/>
      <c r="L135" s="639"/>
      <c r="M135" s="639"/>
      <c r="N135" s="639"/>
      <c r="O135" s="649"/>
      <c r="P135" s="394"/>
      <c r="Q135" s="394"/>
      <c r="R135" s="394"/>
      <c r="S135" s="394"/>
      <c r="T135" s="394"/>
      <c r="U135" s="394"/>
      <c r="V135" s="394"/>
      <c r="W135" s="394"/>
      <c r="X135" s="394"/>
      <c r="Y135" s="394"/>
      <c r="Z135" s="394"/>
      <c r="AA135" s="394"/>
      <c r="AB135" s="394"/>
    </row>
    <row r="136" ht="15.6" spans="1:28">
      <c r="A136" s="394"/>
      <c r="B136" s="638" t="s">
        <v>73</v>
      </c>
      <c r="C136" s="639"/>
      <c r="D136" s="639"/>
      <c r="E136" s="639"/>
      <c r="F136" s="639"/>
      <c r="G136" s="639"/>
      <c r="H136" s="639"/>
      <c r="I136" s="639"/>
      <c r="J136" s="639"/>
      <c r="K136" s="639"/>
      <c r="L136" s="639"/>
      <c r="M136" s="639"/>
      <c r="N136" s="639"/>
      <c r="O136" s="649"/>
      <c r="P136" s="394"/>
      <c r="Q136" s="394"/>
      <c r="R136" s="394"/>
      <c r="S136" s="394"/>
      <c r="T136" s="394"/>
      <c r="U136" s="394"/>
      <c r="V136" s="394"/>
      <c r="W136" s="394"/>
      <c r="X136" s="394"/>
      <c r="Y136" s="394"/>
      <c r="Z136" s="394"/>
      <c r="AA136" s="394"/>
      <c r="AB136" s="394"/>
    </row>
    <row r="137" ht="15.6" spans="1:28">
      <c r="A137" s="394"/>
      <c r="B137" s="640" t="s">
        <v>74</v>
      </c>
      <c r="C137" s="639"/>
      <c r="D137" s="639"/>
      <c r="E137" s="639"/>
      <c r="F137" s="639"/>
      <c r="G137" s="639"/>
      <c r="H137" s="639"/>
      <c r="I137" s="639"/>
      <c r="J137" s="639"/>
      <c r="K137" s="639"/>
      <c r="L137" s="639"/>
      <c r="M137" s="639"/>
      <c r="N137" s="639"/>
      <c r="O137" s="649"/>
      <c r="P137" s="394"/>
      <c r="Q137" s="394"/>
      <c r="R137" s="394"/>
      <c r="S137" s="394"/>
      <c r="T137" s="394"/>
      <c r="U137" s="394"/>
      <c r="V137" s="394"/>
      <c r="W137" s="394"/>
      <c r="X137" s="394"/>
      <c r="Y137" s="394"/>
      <c r="Z137" s="394"/>
      <c r="AA137" s="394"/>
      <c r="AB137" s="394"/>
    </row>
    <row r="138" ht="15.6" spans="1:28">
      <c r="A138" s="394"/>
      <c r="B138" s="638" t="s">
        <v>75</v>
      </c>
      <c r="C138" s="639"/>
      <c r="D138" s="639"/>
      <c r="E138" s="639"/>
      <c r="F138" s="639"/>
      <c r="G138" s="639"/>
      <c r="H138" s="639"/>
      <c r="I138" s="639"/>
      <c r="J138" s="639"/>
      <c r="K138" s="639"/>
      <c r="L138" s="639"/>
      <c r="M138" s="639"/>
      <c r="N138" s="639"/>
      <c r="O138" s="649"/>
      <c r="P138" s="394"/>
      <c r="Q138" s="394"/>
      <c r="R138" s="394"/>
      <c r="S138" s="394"/>
      <c r="T138" s="394"/>
      <c r="U138" s="394"/>
      <c r="V138" s="394"/>
      <c r="W138" s="394"/>
      <c r="X138" s="394"/>
      <c r="Y138" s="394"/>
      <c r="Z138" s="394"/>
      <c r="AA138" s="394"/>
      <c r="AB138" s="394"/>
    </row>
    <row r="139" ht="15.6" spans="1:28">
      <c r="A139" s="394"/>
      <c r="B139" s="638" t="s">
        <v>76</v>
      </c>
      <c r="C139" s="639"/>
      <c r="D139" s="639"/>
      <c r="E139" s="639"/>
      <c r="F139" s="639"/>
      <c r="G139" s="639"/>
      <c r="H139" s="639"/>
      <c r="I139" s="639"/>
      <c r="J139" s="639"/>
      <c r="K139" s="639"/>
      <c r="L139" s="639"/>
      <c r="M139" s="639"/>
      <c r="N139" s="639"/>
      <c r="O139" s="649"/>
      <c r="P139" s="394"/>
      <c r="Q139" s="394"/>
      <c r="R139" s="394"/>
      <c r="S139" s="394"/>
      <c r="T139" s="394"/>
      <c r="U139" s="394"/>
      <c r="V139" s="394"/>
      <c r="W139" s="394"/>
      <c r="X139" s="394"/>
      <c r="Y139" s="394"/>
      <c r="Z139" s="394"/>
      <c r="AA139" s="394"/>
      <c r="AB139" s="394"/>
    </row>
    <row r="140" ht="15.6" spans="1:28">
      <c r="A140" s="394"/>
      <c r="B140" s="638" t="s">
        <v>77</v>
      </c>
      <c r="C140" s="639"/>
      <c r="D140" s="639"/>
      <c r="E140" s="639"/>
      <c r="F140" s="639"/>
      <c r="G140" s="639"/>
      <c r="H140" s="639"/>
      <c r="I140" s="639"/>
      <c r="J140" s="639"/>
      <c r="K140" s="639"/>
      <c r="L140" s="639"/>
      <c r="M140" s="639"/>
      <c r="N140" s="639"/>
      <c r="O140" s="649"/>
      <c r="P140" s="394"/>
      <c r="Q140" s="394"/>
      <c r="R140" s="394"/>
      <c r="S140" s="394"/>
      <c r="T140" s="394"/>
      <c r="U140" s="394"/>
      <c r="V140" s="394"/>
      <c r="W140" s="394"/>
      <c r="X140" s="394"/>
      <c r="Y140" s="394"/>
      <c r="Z140" s="394"/>
      <c r="AA140" s="394"/>
      <c r="AB140" s="394"/>
    </row>
    <row r="141" ht="15.6" spans="1:28">
      <c r="A141" s="394"/>
      <c r="B141" s="638" t="s">
        <v>78</v>
      </c>
      <c r="C141" s="639"/>
      <c r="D141" s="639"/>
      <c r="E141" s="639"/>
      <c r="F141" s="639"/>
      <c r="G141" s="639"/>
      <c r="H141" s="639"/>
      <c r="I141" s="639"/>
      <c r="J141" s="639"/>
      <c r="K141" s="639"/>
      <c r="L141" s="639"/>
      <c r="M141" s="639"/>
      <c r="N141" s="639"/>
      <c r="O141" s="649"/>
      <c r="P141" s="394"/>
      <c r="Q141" s="394"/>
      <c r="R141" s="394"/>
      <c r="S141" s="394"/>
      <c r="T141" s="394"/>
      <c r="U141" s="394"/>
      <c r="V141" s="394"/>
      <c r="W141" s="394"/>
      <c r="X141" s="394"/>
      <c r="Y141" s="394"/>
      <c r="Z141" s="394"/>
      <c r="AA141" s="394"/>
      <c r="AB141" s="394"/>
    </row>
    <row r="142" ht="15.6" spans="1:28">
      <c r="A142" s="394"/>
      <c r="B142" s="638" t="s">
        <v>79</v>
      </c>
      <c r="C142" s="639"/>
      <c r="D142" s="639"/>
      <c r="E142" s="639"/>
      <c r="F142" s="639"/>
      <c r="G142" s="639"/>
      <c r="H142" s="639"/>
      <c r="I142" s="639"/>
      <c r="J142" s="639"/>
      <c r="K142" s="639"/>
      <c r="L142" s="639"/>
      <c r="M142" s="639"/>
      <c r="N142" s="639"/>
      <c r="O142" s="649"/>
      <c r="P142" s="394"/>
      <c r="Q142" s="394"/>
      <c r="R142" s="394"/>
      <c r="S142" s="394"/>
      <c r="T142" s="394"/>
      <c r="U142" s="394"/>
      <c r="V142" s="394"/>
      <c r="W142" s="394"/>
      <c r="X142" s="394"/>
      <c r="Y142" s="394"/>
      <c r="Z142" s="394"/>
      <c r="AA142" s="394"/>
      <c r="AB142" s="394"/>
    </row>
    <row r="143" ht="15.6" spans="1:28">
      <c r="A143" s="394"/>
      <c r="B143" s="638" t="s">
        <v>80</v>
      </c>
      <c r="C143" s="639"/>
      <c r="D143" s="639"/>
      <c r="E143" s="639"/>
      <c r="F143" s="639"/>
      <c r="G143" s="639"/>
      <c r="H143" s="639"/>
      <c r="I143" s="639"/>
      <c r="J143" s="639"/>
      <c r="K143" s="639"/>
      <c r="L143" s="639"/>
      <c r="M143" s="639"/>
      <c r="N143" s="639"/>
      <c r="O143" s="649"/>
      <c r="P143" s="394"/>
      <c r="Q143" s="394"/>
      <c r="R143" s="394"/>
      <c r="S143" s="394"/>
      <c r="T143" s="394"/>
      <c r="U143" s="394"/>
      <c r="V143" s="394"/>
      <c r="W143" s="394"/>
      <c r="X143" s="394"/>
      <c r="Y143" s="394"/>
      <c r="Z143" s="394"/>
      <c r="AA143" s="394"/>
      <c r="AB143" s="394"/>
    </row>
    <row r="144" ht="15.6" spans="1:28">
      <c r="A144" s="394"/>
      <c r="B144" s="638" t="s">
        <v>81</v>
      </c>
      <c r="C144" s="639"/>
      <c r="D144" s="639"/>
      <c r="E144" s="639"/>
      <c r="F144" s="639"/>
      <c r="G144" s="639"/>
      <c r="H144" s="639"/>
      <c r="I144" s="639"/>
      <c r="J144" s="639"/>
      <c r="K144" s="639"/>
      <c r="L144" s="639"/>
      <c r="M144" s="639"/>
      <c r="N144" s="639"/>
      <c r="O144" s="649"/>
      <c r="P144" s="394"/>
      <c r="Q144" s="394"/>
      <c r="R144" s="394"/>
      <c r="S144" s="394"/>
      <c r="T144" s="394"/>
      <c r="U144" s="394"/>
      <c r="V144" s="394"/>
      <c r="W144" s="394"/>
      <c r="X144" s="394"/>
      <c r="Y144" s="394"/>
      <c r="Z144" s="394"/>
      <c r="AA144" s="394"/>
      <c r="AB144" s="394"/>
    </row>
    <row r="145" ht="15.6" spans="1:28">
      <c r="A145" s="394"/>
      <c r="B145" s="638" t="s">
        <v>82</v>
      </c>
      <c r="C145" s="639"/>
      <c r="D145" s="639"/>
      <c r="E145" s="639"/>
      <c r="F145" s="639"/>
      <c r="G145" s="639"/>
      <c r="H145" s="639"/>
      <c r="I145" s="639"/>
      <c r="J145" s="639"/>
      <c r="K145" s="639"/>
      <c r="L145" s="639"/>
      <c r="M145" s="639"/>
      <c r="N145" s="639"/>
      <c r="O145" s="649"/>
      <c r="P145" s="394"/>
      <c r="Q145" s="394"/>
      <c r="R145" s="394"/>
      <c r="S145" s="394"/>
      <c r="T145" s="394"/>
      <c r="U145" s="394"/>
      <c r="V145" s="394"/>
      <c r="W145" s="394"/>
      <c r="X145" s="394"/>
      <c r="Y145" s="394"/>
      <c r="Z145" s="394"/>
      <c r="AA145" s="394"/>
      <c r="AB145" s="394"/>
    </row>
    <row r="146" ht="15.6" spans="1:28">
      <c r="A146" s="394"/>
      <c r="B146" s="638" t="s">
        <v>83</v>
      </c>
      <c r="C146" s="639"/>
      <c r="D146" s="639"/>
      <c r="E146" s="639"/>
      <c r="F146" s="639"/>
      <c r="G146" s="639"/>
      <c r="H146" s="639"/>
      <c r="I146" s="639"/>
      <c r="J146" s="639"/>
      <c r="K146" s="639"/>
      <c r="L146" s="639"/>
      <c r="M146" s="639"/>
      <c r="N146" s="639"/>
      <c r="O146" s="649"/>
      <c r="P146" s="394"/>
      <c r="Q146" s="394"/>
      <c r="R146" s="394"/>
      <c r="S146" s="394"/>
      <c r="T146" s="394"/>
      <c r="U146" s="394"/>
      <c r="V146" s="394"/>
      <c r="W146" s="394"/>
      <c r="X146" s="394"/>
      <c r="Y146" s="394"/>
      <c r="Z146" s="394"/>
      <c r="AA146" s="394"/>
      <c r="AB146" s="394"/>
    </row>
    <row r="147" ht="15.6" spans="1:28">
      <c r="A147" s="394"/>
      <c r="B147" s="638" t="s">
        <v>84</v>
      </c>
      <c r="C147" s="639"/>
      <c r="D147" s="639"/>
      <c r="E147" s="639"/>
      <c r="F147" s="639"/>
      <c r="G147" s="639"/>
      <c r="H147" s="639"/>
      <c r="I147" s="639"/>
      <c r="J147" s="639"/>
      <c r="K147" s="639"/>
      <c r="L147" s="639"/>
      <c r="M147" s="639"/>
      <c r="N147" s="639"/>
      <c r="O147" s="649"/>
      <c r="P147" s="394"/>
      <c r="Q147" s="394"/>
      <c r="R147" s="394"/>
      <c r="S147" s="394"/>
      <c r="T147" s="394"/>
      <c r="U147" s="394"/>
      <c r="V147" s="394"/>
      <c r="W147" s="394"/>
      <c r="X147" s="394"/>
      <c r="Y147" s="394"/>
      <c r="Z147" s="394"/>
      <c r="AA147" s="394"/>
      <c r="AB147" s="394"/>
    </row>
    <row r="148" ht="15.6" spans="1:28">
      <c r="A148" s="394"/>
      <c r="B148" s="638" t="s">
        <v>85</v>
      </c>
      <c r="C148" s="639"/>
      <c r="D148" s="639"/>
      <c r="E148" s="639"/>
      <c r="F148" s="639"/>
      <c r="G148" s="639"/>
      <c r="H148" s="639"/>
      <c r="I148" s="639"/>
      <c r="J148" s="639"/>
      <c r="K148" s="639"/>
      <c r="L148" s="639"/>
      <c r="M148" s="639"/>
      <c r="N148" s="639"/>
      <c r="O148" s="649"/>
      <c r="P148" s="394"/>
      <c r="Q148" s="394"/>
      <c r="R148" s="394"/>
      <c r="S148" s="394"/>
      <c r="T148" s="394"/>
      <c r="U148" s="394"/>
      <c r="V148" s="394"/>
      <c r="W148" s="394"/>
      <c r="X148" s="394"/>
      <c r="Y148" s="394"/>
      <c r="Z148" s="394"/>
      <c r="AA148" s="394"/>
      <c r="AB148" s="394"/>
    </row>
    <row r="149" ht="15.6" spans="1:28">
      <c r="A149" s="394"/>
      <c r="B149" s="641" t="s">
        <v>86</v>
      </c>
      <c r="C149" s="642"/>
      <c r="D149" s="642"/>
      <c r="E149" s="642"/>
      <c r="F149" s="642"/>
      <c r="G149" s="642"/>
      <c r="H149" s="642"/>
      <c r="I149" s="642"/>
      <c r="J149" s="642"/>
      <c r="K149" s="642"/>
      <c r="L149" s="642"/>
      <c r="M149" s="642"/>
      <c r="N149" s="642"/>
      <c r="O149" s="650"/>
      <c r="P149" s="394"/>
      <c r="Q149" s="394"/>
      <c r="R149" s="394"/>
      <c r="S149" s="394"/>
      <c r="T149" s="394"/>
      <c r="U149" s="394"/>
      <c r="V149" s="394"/>
      <c r="W149" s="394"/>
      <c r="X149" s="394"/>
      <c r="Y149" s="394"/>
      <c r="Z149" s="394"/>
      <c r="AA149" s="394"/>
      <c r="AB149" s="394"/>
    </row>
    <row r="150" ht="15.6" spans="1:28">
      <c r="A150" s="394"/>
      <c r="B150" s="641" t="s">
        <v>87</v>
      </c>
      <c r="C150" s="642"/>
      <c r="D150" s="642"/>
      <c r="E150" s="642"/>
      <c r="F150" s="642"/>
      <c r="G150" s="642"/>
      <c r="H150" s="642"/>
      <c r="I150" s="642"/>
      <c r="J150" s="642"/>
      <c r="K150" s="642"/>
      <c r="L150" s="642"/>
      <c r="M150" s="642"/>
      <c r="N150" s="642"/>
      <c r="O150" s="650"/>
      <c r="P150" s="394"/>
      <c r="Q150" s="394"/>
      <c r="R150" s="394"/>
      <c r="S150" s="394"/>
      <c r="T150" s="394"/>
      <c r="U150" s="394"/>
      <c r="V150" s="394"/>
      <c r="W150" s="394"/>
      <c r="X150" s="394"/>
      <c r="Y150" s="394"/>
      <c r="Z150" s="394"/>
      <c r="AA150" s="394"/>
      <c r="AB150" s="394"/>
    </row>
    <row r="151" ht="15.6" spans="1:28">
      <c r="A151" s="394"/>
      <c r="B151" s="641" t="s">
        <v>88</v>
      </c>
      <c r="C151" s="642"/>
      <c r="D151" s="642"/>
      <c r="E151" s="642"/>
      <c r="F151" s="642"/>
      <c r="G151" s="642"/>
      <c r="H151" s="642"/>
      <c r="I151" s="642"/>
      <c r="J151" s="642"/>
      <c r="K151" s="642"/>
      <c r="L151" s="642"/>
      <c r="M151" s="642"/>
      <c r="N151" s="642"/>
      <c r="O151" s="650"/>
      <c r="P151" s="394"/>
      <c r="Q151" s="394"/>
      <c r="R151" s="394"/>
      <c r="S151" s="394"/>
      <c r="T151" s="394"/>
      <c r="U151" s="394"/>
      <c r="V151" s="394"/>
      <c r="W151" s="394"/>
      <c r="X151" s="394"/>
      <c r="Y151" s="394"/>
      <c r="Z151" s="394"/>
      <c r="AA151" s="394"/>
      <c r="AB151" s="394"/>
    </row>
    <row r="152" ht="15.6" spans="1:28">
      <c r="A152" s="394"/>
      <c r="B152" s="641" t="s">
        <v>89</v>
      </c>
      <c r="C152" s="642"/>
      <c r="D152" s="642"/>
      <c r="E152" s="642"/>
      <c r="F152" s="642"/>
      <c r="G152" s="642"/>
      <c r="H152" s="642"/>
      <c r="I152" s="642"/>
      <c r="J152" s="642"/>
      <c r="K152" s="642"/>
      <c r="L152" s="642"/>
      <c r="M152" s="642"/>
      <c r="N152" s="642"/>
      <c r="O152" s="650"/>
      <c r="P152" s="394"/>
      <c r="Q152" s="394"/>
      <c r="R152" s="394"/>
      <c r="S152" s="394"/>
      <c r="T152" s="394"/>
      <c r="U152" s="394"/>
      <c r="V152" s="394"/>
      <c r="W152" s="394"/>
      <c r="X152" s="394"/>
      <c r="Y152" s="394"/>
      <c r="Z152" s="394"/>
      <c r="AA152" s="394"/>
      <c r="AB152" s="394"/>
    </row>
    <row r="153" ht="15.6" spans="1:28">
      <c r="A153" s="394"/>
      <c r="B153" s="641" t="s">
        <v>90</v>
      </c>
      <c r="C153" s="642"/>
      <c r="D153" s="642"/>
      <c r="E153" s="642"/>
      <c r="F153" s="642"/>
      <c r="G153" s="642"/>
      <c r="H153" s="642"/>
      <c r="I153" s="642"/>
      <c r="J153" s="642"/>
      <c r="K153" s="642"/>
      <c r="L153" s="642"/>
      <c r="M153" s="642"/>
      <c r="N153" s="642"/>
      <c r="O153" s="650"/>
      <c r="P153" s="394"/>
      <c r="Q153" s="394"/>
      <c r="R153" s="394"/>
      <c r="S153" s="394"/>
      <c r="T153" s="394"/>
      <c r="U153" s="394"/>
      <c r="V153" s="394"/>
      <c r="W153" s="394"/>
      <c r="X153" s="394"/>
      <c r="Y153" s="394"/>
      <c r="Z153" s="394"/>
      <c r="AA153" s="394"/>
      <c r="AB153" s="394"/>
    </row>
    <row r="154" spans="2:15">
      <c r="B154" s="640" t="s">
        <v>91</v>
      </c>
      <c r="C154" s="643"/>
      <c r="D154" s="643"/>
      <c r="E154" s="643"/>
      <c r="F154" s="643"/>
      <c r="G154" s="643"/>
      <c r="H154" s="643"/>
      <c r="I154" s="643"/>
      <c r="J154" s="643"/>
      <c r="K154" s="643"/>
      <c r="L154" s="643"/>
      <c r="M154" s="643"/>
      <c r="N154" s="643"/>
      <c r="O154" s="651"/>
    </row>
    <row r="155" spans="2:15">
      <c r="B155" s="640" t="s">
        <v>92</v>
      </c>
      <c r="C155" s="643"/>
      <c r="D155" s="643"/>
      <c r="E155" s="643"/>
      <c r="F155" s="643"/>
      <c r="G155" s="643"/>
      <c r="H155" s="643"/>
      <c r="I155" s="643"/>
      <c r="J155" s="643"/>
      <c r="K155" s="643"/>
      <c r="L155" s="643"/>
      <c r="M155" s="643"/>
      <c r="N155" s="643"/>
      <c r="O155" s="651"/>
    </row>
    <row r="156" spans="2:15">
      <c r="B156" s="640" t="s">
        <v>93</v>
      </c>
      <c r="C156" s="643"/>
      <c r="D156" s="643"/>
      <c r="E156" s="643"/>
      <c r="F156" s="643"/>
      <c r="G156" s="643"/>
      <c r="H156" s="643"/>
      <c r="I156" s="643"/>
      <c r="J156" s="643"/>
      <c r="K156" s="643"/>
      <c r="L156" s="643"/>
      <c r="M156" s="643"/>
      <c r="N156" s="643"/>
      <c r="O156" s="651"/>
    </row>
    <row r="157" spans="2:15">
      <c r="B157" s="640" t="s">
        <v>94</v>
      </c>
      <c r="C157" s="643"/>
      <c r="D157" s="643"/>
      <c r="E157" s="643"/>
      <c r="F157" s="643"/>
      <c r="G157" s="643"/>
      <c r="H157" s="643"/>
      <c r="I157" s="643"/>
      <c r="J157" s="643"/>
      <c r="K157" s="643"/>
      <c r="L157" s="643"/>
      <c r="M157" s="643"/>
      <c r="N157" s="643"/>
      <c r="O157" s="651"/>
    </row>
    <row r="158" spans="2:15">
      <c r="B158" s="640" t="s">
        <v>95</v>
      </c>
      <c r="C158" s="643"/>
      <c r="D158" s="643"/>
      <c r="E158" s="643"/>
      <c r="F158" s="643"/>
      <c r="G158" s="643"/>
      <c r="H158" s="643"/>
      <c r="I158" s="643"/>
      <c r="J158" s="643"/>
      <c r="K158" s="643"/>
      <c r="L158" s="643"/>
      <c r="M158" s="643"/>
      <c r="N158" s="643"/>
      <c r="O158" s="651"/>
    </row>
    <row r="159" spans="2:15">
      <c r="B159" s="640" t="s">
        <v>96</v>
      </c>
      <c r="C159" s="643"/>
      <c r="D159" s="643"/>
      <c r="E159" s="643"/>
      <c r="F159" s="643"/>
      <c r="G159" s="643"/>
      <c r="H159" s="643"/>
      <c r="I159" s="643"/>
      <c r="J159" s="643"/>
      <c r="K159" s="643"/>
      <c r="L159" s="643"/>
      <c r="M159" s="643"/>
      <c r="N159" s="643"/>
      <c r="O159" s="651"/>
    </row>
    <row r="160" spans="2:15">
      <c r="B160" s="640" t="s">
        <v>97</v>
      </c>
      <c r="C160" s="643"/>
      <c r="D160" s="643"/>
      <c r="E160" s="643"/>
      <c r="F160" s="643"/>
      <c r="G160" s="643"/>
      <c r="H160" s="643"/>
      <c r="I160" s="643"/>
      <c r="J160" s="643"/>
      <c r="K160" s="643"/>
      <c r="L160" s="643"/>
      <c r="M160" s="643"/>
      <c r="N160" s="643"/>
      <c r="O160" s="651"/>
    </row>
    <row r="161" spans="2:15">
      <c r="B161" s="640" t="s">
        <v>98</v>
      </c>
      <c r="C161" s="643"/>
      <c r="D161" s="643"/>
      <c r="E161" s="643"/>
      <c r="F161" s="643"/>
      <c r="G161" s="643"/>
      <c r="H161" s="643"/>
      <c r="I161" s="643"/>
      <c r="J161" s="643"/>
      <c r="K161" s="643"/>
      <c r="L161" s="643"/>
      <c r="M161" s="643"/>
      <c r="N161" s="643"/>
      <c r="O161" s="651"/>
    </row>
    <row r="162" spans="2:15">
      <c r="B162" s="640" t="s">
        <v>99</v>
      </c>
      <c r="C162" s="643"/>
      <c r="D162" s="643"/>
      <c r="E162" s="643"/>
      <c r="F162" s="643"/>
      <c r="G162" s="643"/>
      <c r="H162" s="643"/>
      <c r="I162" s="643"/>
      <c r="J162" s="643"/>
      <c r="K162" s="643"/>
      <c r="L162" s="643"/>
      <c r="M162" s="643"/>
      <c r="N162" s="643"/>
      <c r="O162" s="651"/>
    </row>
    <row r="163" spans="2:15">
      <c r="B163" s="640" t="s">
        <v>100</v>
      </c>
      <c r="C163" s="643"/>
      <c r="D163" s="643"/>
      <c r="E163" s="643"/>
      <c r="F163" s="643"/>
      <c r="G163" s="643"/>
      <c r="H163" s="643"/>
      <c r="I163" s="643"/>
      <c r="J163" s="643"/>
      <c r="K163" s="643"/>
      <c r="L163" s="643"/>
      <c r="M163" s="643"/>
      <c r="N163" s="643"/>
      <c r="O163" s="651"/>
    </row>
    <row r="164" spans="2:15">
      <c r="B164" s="640" t="s">
        <v>101</v>
      </c>
      <c r="C164" s="643"/>
      <c r="D164" s="643"/>
      <c r="E164" s="643"/>
      <c r="F164" s="643"/>
      <c r="G164" s="643"/>
      <c r="H164" s="643"/>
      <c r="I164" s="643"/>
      <c r="J164" s="643"/>
      <c r="K164" s="643"/>
      <c r="L164" s="643"/>
      <c r="M164" s="643"/>
      <c r="N164" s="643"/>
      <c r="O164" s="651"/>
    </row>
    <row r="165" ht="15.15" spans="2:15">
      <c r="B165" s="644"/>
      <c r="C165" s="645"/>
      <c r="D165" s="645"/>
      <c r="E165" s="645"/>
      <c r="F165" s="645"/>
      <c r="G165" s="645"/>
      <c r="H165" s="645"/>
      <c r="I165" s="645"/>
      <c r="J165" s="645"/>
      <c r="K165" s="645"/>
      <c r="L165" s="645"/>
      <c r="M165" s="645"/>
      <c r="N165" s="645"/>
      <c r="O165" s="652"/>
    </row>
  </sheetData>
  <mergeCells count="113">
    <mergeCell ref="C5:E5"/>
    <mergeCell ref="F5:I5"/>
    <mergeCell ref="J5:M5"/>
    <mergeCell ref="B6:C6"/>
    <mergeCell ref="E6:F6"/>
    <mergeCell ref="H6:Q6"/>
    <mergeCell ref="B7:C7"/>
    <mergeCell ref="E7:F7"/>
    <mergeCell ref="H7:Q7"/>
    <mergeCell ref="B8:C8"/>
    <mergeCell ref="E8:F8"/>
    <mergeCell ref="H8:J8"/>
    <mergeCell ref="L8:Q8"/>
    <mergeCell ref="B9:C9"/>
    <mergeCell ref="E9:Q9"/>
    <mergeCell ref="B10:C10"/>
    <mergeCell ref="E10:Q10"/>
    <mergeCell ref="B11:C11"/>
    <mergeCell ref="E11:Q11"/>
    <mergeCell ref="B12:C12"/>
    <mergeCell ref="F12:Q12"/>
    <mergeCell ref="B13:C13"/>
    <mergeCell ref="F13:H13"/>
    <mergeCell ref="K13:Q13"/>
    <mergeCell ref="B14:C14"/>
    <mergeCell ref="F14:G14"/>
    <mergeCell ref="K14:L14"/>
    <mergeCell ref="D15:E15"/>
    <mergeCell ref="H15:I15"/>
    <mergeCell ref="M15:N15"/>
    <mergeCell ref="D16:E16"/>
    <mergeCell ref="H16:I16"/>
    <mergeCell ref="M16:N16"/>
    <mergeCell ref="D17:E17"/>
    <mergeCell ref="H17:I17"/>
    <mergeCell ref="M17:N17"/>
    <mergeCell ref="D18:E18"/>
    <mergeCell ref="H18:I18"/>
    <mergeCell ref="M18:N18"/>
    <mergeCell ref="D19:E19"/>
    <mergeCell ref="H19:I19"/>
    <mergeCell ref="M19:N19"/>
    <mergeCell ref="D20:E20"/>
    <mergeCell ref="H20:I20"/>
    <mergeCell ref="M20:N20"/>
    <mergeCell ref="D21:E21"/>
    <mergeCell ref="H21:I21"/>
    <mergeCell ref="M21:N21"/>
    <mergeCell ref="D22:E22"/>
    <mergeCell ref="H22:I22"/>
    <mergeCell ref="M22:N22"/>
    <mergeCell ref="D23:E23"/>
    <mergeCell ref="H23:I23"/>
    <mergeCell ref="M23:N23"/>
    <mergeCell ref="D24:E24"/>
    <mergeCell ref="H24:I24"/>
    <mergeCell ref="M24:N24"/>
    <mergeCell ref="D25:E25"/>
    <mergeCell ref="H25:I25"/>
    <mergeCell ref="M25:N25"/>
    <mergeCell ref="D26:E26"/>
    <mergeCell ref="H26:I26"/>
    <mergeCell ref="M26:N26"/>
    <mergeCell ref="D27:E27"/>
    <mergeCell ref="H27:I27"/>
    <mergeCell ref="M27:N27"/>
    <mergeCell ref="D28:E28"/>
    <mergeCell ref="H28:I28"/>
    <mergeCell ref="M28:N28"/>
    <mergeCell ref="B29:C29"/>
    <mergeCell ref="D29:E29"/>
    <mergeCell ref="F29:G29"/>
    <mergeCell ref="H29:I29"/>
    <mergeCell ref="J29:K29"/>
    <mergeCell ref="N29:P29"/>
    <mergeCell ref="B30:C30"/>
    <mergeCell ref="D30:E30"/>
    <mergeCell ref="F30:G30"/>
    <mergeCell ref="H30:I30"/>
    <mergeCell ref="J30:K30"/>
    <mergeCell ref="N30:P30"/>
    <mergeCell ref="B31:C31"/>
    <mergeCell ref="D31:E31"/>
    <mergeCell ref="F31:G31"/>
    <mergeCell ref="H31:I31"/>
    <mergeCell ref="J31:K31"/>
    <mergeCell ref="N31:P31"/>
    <mergeCell ref="B32:C32"/>
    <mergeCell ref="D32:E32"/>
    <mergeCell ref="F32:G32"/>
    <mergeCell ref="H32:I32"/>
    <mergeCell ref="J32:L32"/>
    <mergeCell ref="B33:C33"/>
    <mergeCell ref="D33:E33"/>
    <mergeCell ref="H33:I33"/>
    <mergeCell ref="J33:L33"/>
    <mergeCell ref="B34:H34"/>
    <mergeCell ref="I34:P34"/>
    <mergeCell ref="B50:H50"/>
    <mergeCell ref="I50:P50"/>
    <mergeCell ref="E118:G118"/>
    <mergeCell ref="B15:B28"/>
    <mergeCell ref="K15:K28"/>
    <mergeCell ref="E2:N3"/>
    <mergeCell ref="B1:C2"/>
    <mergeCell ref="Q2:S3"/>
    <mergeCell ref="B35:H49"/>
    <mergeCell ref="I35:P49"/>
    <mergeCell ref="N32:P33"/>
    <mergeCell ref="I51:P66"/>
    <mergeCell ref="R6:S14"/>
    <mergeCell ref="B120:O126"/>
    <mergeCell ref="B128:O132"/>
  </mergeCells>
  <conditionalFormatting sqref="D6">
    <cfRule type="expression" dxfId="0" priority="6">
      <formula>($D$6-$G$6)^2&gt;0.0001</formula>
    </cfRule>
  </conditionalFormatting>
  <conditionalFormatting sqref="D7">
    <cfRule type="expression" dxfId="0" priority="5">
      <formula>($D$7-$G$7)^2&gt;0.0001</formula>
    </cfRule>
  </conditionalFormatting>
  <conditionalFormatting sqref="D8">
    <cfRule type="expression" dxfId="0" priority="4">
      <formula>$D$8&gt;3</formula>
    </cfRule>
  </conditionalFormatting>
  <conditionalFormatting sqref="G8">
    <cfRule type="expression" dxfId="0" priority="3">
      <formula>$G$8&gt;2</formula>
    </cfRule>
  </conditionalFormatting>
  <conditionalFormatting sqref="K8">
    <cfRule type="expression" dxfId="0" priority="2">
      <formula>$K$8&gt;11</formula>
    </cfRule>
  </conditionalFormatting>
  <conditionalFormatting sqref="C16:F16">
    <cfRule type="expression" dxfId="1" priority="66">
      <formula>$C$16&gt;$H$14</formula>
    </cfRule>
  </conditionalFormatting>
  <conditionalFormatting sqref="G16:J16">
    <cfRule type="expression" dxfId="1" priority="67">
      <formula>$G$16&gt;$H$14</formula>
    </cfRule>
  </conditionalFormatting>
  <conditionalFormatting sqref="L16:O16">
    <cfRule type="expression" dxfId="1" priority="42">
      <formula>$L$16&gt;$M$14</formula>
    </cfRule>
  </conditionalFormatting>
  <conditionalFormatting sqref="P16:S16">
    <cfRule type="expression" dxfId="1" priority="28">
      <formula>$P$16&gt;$M$14</formula>
    </cfRule>
  </conditionalFormatting>
  <conditionalFormatting sqref="C17:F17">
    <cfRule type="expression" dxfId="1" priority="65">
      <formula>$C$17&gt;$H$14</formula>
    </cfRule>
  </conditionalFormatting>
  <conditionalFormatting sqref="G17:J17">
    <cfRule type="expression" dxfId="1" priority="68">
      <formula>$G$17&gt;$H$14</formula>
    </cfRule>
  </conditionalFormatting>
  <conditionalFormatting sqref="L17:O17">
    <cfRule type="expression" dxfId="1" priority="41">
      <formula>$L$17&gt;$M$14</formula>
    </cfRule>
  </conditionalFormatting>
  <conditionalFormatting sqref="P17:S17">
    <cfRule type="expression" dxfId="1" priority="27">
      <formula>$P$17&gt;$M$14</formula>
    </cfRule>
  </conditionalFormatting>
  <conditionalFormatting sqref="C18:F18">
    <cfRule type="expression" dxfId="1" priority="64">
      <formula>$C$18&gt;$H$14</formula>
    </cfRule>
  </conditionalFormatting>
  <conditionalFormatting sqref="G18:J18">
    <cfRule type="expression" dxfId="1" priority="53">
      <formula>$G$18&gt;$H$14</formula>
    </cfRule>
  </conditionalFormatting>
  <conditionalFormatting sqref="L18:O18">
    <cfRule type="expression" dxfId="1" priority="40">
      <formula>$L$18&gt;$M$14</formula>
    </cfRule>
  </conditionalFormatting>
  <conditionalFormatting sqref="P18:S18">
    <cfRule type="expression" dxfId="1" priority="26">
      <formula>$P$18&gt;$M$14</formula>
    </cfRule>
  </conditionalFormatting>
  <conditionalFormatting sqref="C19:F19">
    <cfRule type="expression" dxfId="1" priority="63">
      <formula>$C$19&gt;$H$14</formula>
    </cfRule>
  </conditionalFormatting>
  <conditionalFormatting sqref="G19:J19">
    <cfRule type="expression" dxfId="1" priority="52">
      <formula>$G$19&gt;$H$14</formula>
    </cfRule>
  </conditionalFormatting>
  <conditionalFormatting sqref="L19:O19">
    <cfRule type="expression" dxfId="1" priority="39">
      <formula>$L$19&gt;$M$14</formula>
    </cfRule>
  </conditionalFormatting>
  <conditionalFormatting sqref="P19:S19">
    <cfRule type="expression" dxfId="1" priority="18">
      <formula>$P$19&gt;$M$14</formula>
    </cfRule>
  </conditionalFormatting>
  <conditionalFormatting sqref="C20:F20">
    <cfRule type="expression" dxfId="1" priority="62">
      <formula>$C$20&gt;$H$14</formula>
    </cfRule>
  </conditionalFormatting>
  <conditionalFormatting sqref="G20:J20">
    <cfRule type="expression" dxfId="1" priority="51">
      <formula>$G$20&gt;$H$14</formula>
    </cfRule>
  </conditionalFormatting>
  <conditionalFormatting sqref="L20:O20">
    <cfRule type="expression" dxfId="1" priority="38">
      <formula>$L$20&gt;$M$14</formula>
    </cfRule>
  </conditionalFormatting>
  <conditionalFormatting sqref="P20:S20">
    <cfRule type="expression" dxfId="1" priority="17">
      <formula>$P$20&gt;$M$14</formula>
    </cfRule>
  </conditionalFormatting>
  <conditionalFormatting sqref="C21:F21">
    <cfRule type="expression" dxfId="1" priority="61">
      <formula>$C$21&gt;$H$14</formula>
    </cfRule>
  </conditionalFormatting>
  <conditionalFormatting sqref="G21:J21">
    <cfRule type="expression" dxfId="1" priority="50">
      <formula>$G$21&gt;$H$14</formula>
    </cfRule>
  </conditionalFormatting>
  <conditionalFormatting sqref="L21:O21">
    <cfRule type="expression" dxfId="1" priority="37">
      <formula>$L$21&gt;$M$14</formula>
    </cfRule>
  </conditionalFormatting>
  <conditionalFormatting sqref="P21:S21">
    <cfRule type="expression" dxfId="1" priority="16">
      <formula>$P$21&gt;$M$14</formula>
    </cfRule>
  </conditionalFormatting>
  <conditionalFormatting sqref="C22:F22">
    <cfRule type="expression" dxfId="1" priority="60">
      <formula>$C$22&gt;$H$14</formula>
    </cfRule>
  </conditionalFormatting>
  <conditionalFormatting sqref="G22:J22">
    <cfRule type="expression" dxfId="1" priority="49">
      <formula>$G$22&gt;$H$14</formula>
    </cfRule>
  </conditionalFormatting>
  <conditionalFormatting sqref="L22:O22">
    <cfRule type="expression" dxfId="1" priority="36">
      <formula>$L$22&gt;$M$14</formula>
    </cfRule>
  </conditionalFormatting>
  <conditionalFormatting sqref="P22:S22">
    <cfRule type="expression" dxfId="1" priority="15">
      <formula>$P$22&gt;$M$14</formula>
    </cfRule>
  </conditionalFormatting>
  <conditionalFormatting sqref="C23:F23">
    <cfRule type="expression" dxfId="1" priority="59">
      <formula>$C$23&gt;$H$14</formula>
    </cfRule>
  </conditionalFormatting>
  <conditionalFormatting sqref="G23:J23">
    <cfRule type="expression" dxfId="1" priority="48">
      <formula>$G$23&gt;$H$14</formula>
    </cfRule>
  </conditionalFormatting>
  <conditionalFormatting sqref="L23:O23">
    <cfRule type="expression" dxfId="1" priority="35">
      <formula>$L$23&gt;$M$14</formula>
    </cfRule>
  </conditionalFormatting>
  <conditionalFormatting sqref="P23:S23">
    <cfRule type="expression" dxfId="1" priority="14">
      <formula>$P$23&gt;$M$14</formula>
    </cfRule>
  </conditionalFormatting>
  <conditionalFormatting sqref="C24:F24">
    <cfRule type="expression" dxfId="1" priority="58">
      <formula>$C$24&gt;$H$14</formula>
    </cfRule>
  </conditionalFormatting>
  <conditionalFormatting sqref="G24:J24">
    <cfRule type="expression" dxfId="1" priority="47">
      <formula>$G$24&gt;$H$14</formula>
    </cfRule>
  </conditionalFormatting>
  <conditionalFormatting sqref="L24:O24">
    <cfRule type="expression" dxfId="1" priority="33">
      <formula>$L$25&gt;$M$14</formula>
    </cfRule>
    <cfRule type="expression" dxfId="1" priority="34">
      <formula>$L$24&gt;$M$14</formula>
    </cfRule>
  </conditionalFormatting>
  <conditionalFormatting sqref="P24:S24">
    <cfRule type="expression" dxfId="1" priority="13">
      <formula>$P$24&gt;$M$14</formula>
    </cfRule>
  </conditionalFormatting>
  <conditionalFormatting sqref="C25:F25">
    <cfRule type="expression" dxfId="1" priority="57">
      <formula>$C$25&gt;$H$14</formula>
    </cfRule>
  </conditionalFormatting>
  <conditionalFormatting sqref="G25:J25">
    <cfRule type="expression" dxfId="1" priority="46">
      <formula>$G$25&gt;$H$14</formula>
    </cfRule>
  </conditionalFormatting>
  <conditionalFormatting sqref="L25:O25">
    <cfRule type="expression" dxfId="1" priority="32">
      <formula>$L$25&gt;$M$14</formula>
    </cfRule>
  </conditionalFormatting>
  <conditionalFormatting sqref="P25:S25">
    <cfRule type="expression" dxfId="1" priority="12">
      <formula>$P$25&gt;$M$14</formula>
    </cfRule>
  </conditionalFormatting>
  <conditionalFormatting sqref="C26:F26">
    <cfRule type="expression" dxfId="1" priority="56">
      <formula>$C$26&gt;$H$14</formula>
    </cfRule>
  </conditionalFormatting>
  <conditionalFormatting sqref="G26:J26">
    <cfRule type="expression" dxfId="1" priority="45">
      <formula>$G$26&gt;$H$14</formula>
    </cfRule>
  </conditionalFormatting>
  <conditionalFormatting sqref="L26:O26">
    <cfRule type="expression" dxfId="1" priority="31">
      <formula>$L$26&gt;$M$14</formula>
    </cfRule>
  </conditionalFormatting>
  <conditionalFormatting sqref="P26:S26">
    <cfRule type="expression" dxfId="1" priority="11">
      <formula>$P$26&gt;$M$14</formula>
    </cfRule>
  </conditionalFormatting>
  <conditionalFormatting sqref="C27:F27">
    <cfRule type="expression" dxfId="1" priority="55">
      <formula>$C$27&gt;$H$14</formula>
    </cfRule>
  </conditionalFormatting>
  <conditionalFormatting sqref="G27:J27">
    <cfRule type="expression" dxfId="1" priority="44">
      <formula>$G$27&gt;$H$14</formula>
    </cfRule>
  </conditionalFormatting>
  <conditionalFormatting sqref="L27:O27">
    <cfRule type="expression" dxfId="1" priority="30">
      <formula>$L$27&gt;$M$14</formula>
    </cfRule>
  </conditionalFormatting>
  <conditionalFormatting sqref="P27:S27">
    <cfRule type="expression" dxfId="1" priority="10">
      <formula>$P$27&gt;$M$14</formula>
    </cfRule>
  </conditionalFormatting>
  <conditionalFormatting sqref="C28:F28">
    <cfRule type="expression" dxfId="1" priority="54">
      <formula>$C$28&gt;$H$14</formula>
    </cfRule>
  </conditionalFormatting>
  <conditionalFormatting sqref="G28:J28">
    <cfRule type="expression" dxfId="1" priority="43">
      <formula>$G$28&gt;$H$14</formula>
    </cfRule>
  </conditionalFormatting>
  <conditionalFormatting sqref="L28:O28">
    <cfRule type="expression" dxfId="1" priority="29">
      <formula>$L$28&gt;$M$14</formula>
    </cfRule>
  </conditionalFormatting>
  <conditionalFormatting sqref="P28:S28">
    <cfRule type="expression" dxfId="1" priority="9">
      <formula>$P$28&gt;$M$14</formula>
    </cfRule>
  </conditionalFormatting>
  <conditionalFormatting sqref="J33:M33">
    <cfRule type="expression" dxfId="2" priority="19">
      <formula>$M$33&lt;0.05</formula>
    </cfRule>
    <cfRule type="expression" dxfId="2" priority="20">
      <formula>$M$33&gt;0.3</formula>
    </cfRule>
  </conditionalFormatting>
  <conditionalFormatting sqref="N32:P33">
    <cfRule type="expression" dxfId="3" priority="8">
      <formula>数据表!$C$38+数据表!$C$44</formula>
    </cfRule>
  </conditionalFormatting>
  <hyperlinks>
    <hyperlink ref="Q2:S3" location="当前时间项目推荐!A11" display="确定自身倾向后，可以查看当前时间的最优策略"/>
    <hyperlink ref="B1" location="表格使用说明!A1" display="查看表格使用说明"/>
    <hyperlink ref="R6:S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zoomScale="130" zoomScaleNormal="130" topLeftCell="A29" workbookViewId="0">
      <selection activeCell="B29" sqref="B29"/>
    </sheetView>
  </sheetViews>
  <sheetFormatPr defaultColWidth="8.88888888888889" defaultRowHeight="14.4"/>
  <cols>
    <col min="1" max="1" width="8" customWidth="1"/>
    <col min="2" max="2" width="12.8240740740741" customWidth="1"/>
    <col min="3" max="3" width="7.57407407407407" customWidth="1"/>
    <col min="5" max="5" width="5.22222222222222" customWidth="1"/>
    <col min="6" max="6" width="16.7777777777778" customWidth="1"/>
    <col min="7" max="7" width="4.88888888888889" customWidth="1"/>
    <col min="8" max="8" width="18" customWidth="1"/>
    <col min="9" max="9" width="5.98148148148148" customWidth="1"/>
    <col min="10" max="10" width="8.14814814814815" customWidth="1"/>
    <col min="11" max="11" width="7" customWidth="1"/>
    <col min="12" max="12" width="6.40740740740741" customWidth="1"/>
    <col min="13" max="13" width="2.30555555555556" customWidth="1"/>
    <col min="14" max="14" width="7.34259259259259" customWidth="1"/>
  </cols>
  <sheetData>
    <row r="1" ht="15.15" spans="1:17">
      <c r="A1" s="306"/>
      <c r="B1" s="306"/>
      <c r="C1" s="306"/>
      <c r="D1" s="306"/>
      <c r="E1" s="306"/>
      <c r="F1" s="306"/>
      <c r="G1" s="306"/>
      <c r="H1" s="306"/>
      <c r="I1" s="306"/>
      <c r="J1" s="306"/>
      <c r="K1" s="306"/>
      <c r="L1" s="306"/>
      <c r="M1" s="306"/>
      <c r="N1" s="306"/>
      <c r="O1" s="306"/>
      <c r="P1" s="306"/>
      <c r="Q1" s="306"/>
    </row>
    <row r="2" ht="15.15" spans="1:18">
      <c r="A2" s="306"/>
      <c r="B2" s="306"/>
      <c r="C2" s="306"/>
      <c r="D2" s="306"/>
      <c r="E2" s="307" t="s">
        <v>102</v>
      </c>
      <c r="F2" s="308" t="s">
        <v>103</v>
      </c>
      <c r="G2" s="309" t="s">
        <v>102</v>
      </c>
      <c r="H2" s="310" t="s">
        <v>103</v>
      </c>
      <c r="I2" s="306"/>
      <c r="J2" s="355" t="s">
        <v>104</v>
      </c>
      <c r="K2" s="356"/>
      <c r="L2" s="356"/>
      <c r="M2" s="356"/>
      <c r="N2" s="357"/>
      <c r="O2" s="306"/>
      <c r="P2" s="306"/>
      <c r="Q2" s="306"/>
      <c r="R2" s="306"/>
    </row>
    <row r="3" ht="15.15" spans="1:18">
      <c r="A3" s="306"/>
      <c r="B3" s="306"/>
      <c r="C3" s="306"/>
      <c r="D3" s="306"/>
      <c r="E3" s="311">
        <v>1</v>
      </c>
      <c r="F3" s="312" t="str">
        <f ca="1">VLOOKUP(1,当前时间策略!Q3:R29,2,0)</f>
        <v>舰装解析0.5h</v>
      </c>
      <c r="G3" s="311">
        <v>15</v>
      </c>
      <c r="H3" s="313" t="str">
        <f ca="1">VLOOKUP(15,当前时间策略!Q3:R29,2,0)</f>
        <v>试验品募集2h蓝</v>
      </c>
      <c r="I3" s="306"/>
      <c r="J3" s="358" t="s">
        <v>105</v>
      </c>
      <c r="K3" s="359"/>
      <c r="L3" s="360">
        <v>90</v>
      </c>
      <c r="M3" s="361"/>
      <c r="N3" s="362"/>
      <c r="O3" s="306"/>
      <c r="P3" s="306"/>
      <c r="Q3" s="306"/>
      <c r="R3" s="306"/>
    </row>
    <row r="4" ht="15.15" spans="1:18">
      <c r="A4" s="306"/>
      <c r="B4" s="306"/>
      <c r="C4" s="306"/>
      <c r="D4" s="306"/>
      <c r="E4" s="314">
        <v>2</v>
      </c>
      <c r="F4" s="315" t="str">
        <f ca="1">VLOOKUP(2,当前时间策略!Q3:R29,2,0)</f>
        <v>彩船定向0.5h</v>
      </c>
      <c r="G4" s="314">
        <v>16</v>
      </c>
      <c r="H4" s="316" t="str">
        <f ca="1">VLOOKUP(16,当前时间策略!Q3:R29,2,0)</f>
        <v>舰装解析4h</v>
      </c>
      <c r="I4" s="306"/>
      <c r="J4" s="358" t="s">
        <v>106</v>
      </c>
      <c r="K4" s="359"/>
      <c r="L4" s="359"/>
      <c r="M4" s="363"/>
      <c r="N4" s="364">
        <v>6</v>
      </c>
      <c r="O4" s="306"/>
      <c r="P4" s="306"/>
      <c r="Q4" s="306"/>
      <c r="R4" s="306"/>
    </row>
    <row r="5" ht="15.15" spans="1:18">
      <c r="A5" s="306"/>
      <c r="B5" s="306"/>
      <c r="C5" s="306"/>
      <c r="D5" s="306"/>
      <c r="E5" s="314">
        <v>3</v>
      </c>
      <c r="F5" s="315" t="str">
        <f ca="1">VLOOKUP(3,当前时间策略!Q3:R29,2,0)</f>
        <v>金船定向0.5h</v>
      </c>
      <c r="G5" s="314">
        <v>17</v>
      </c>
      <c r="H5" s="316" t="str">
        <f ca="1">VLOOKUP(17,当前时间策略!Q3:R29,2,0)</f>
        <v>研究委托3h</v>
      </c>
      <c r="I5" s="306"/>
      <c r="J5" s="365" t="s">
        <v>107</v>
      </c>
      <c r="K5" s="366"/>
      <c r="L5" s="367">
        <f ca="1">数据表!M66</f>
        <v>66.8847875341517</v>
      </c>
      <c r="M5" s="368" t="s">
        <v>108</v>
      </c>
      <c r="N5" s="369">
        <f ca="1">数据表!N66</f>
        <v>176.641098191652</v>
      </c>
      <c r="O5" s="306"/>
      <c r="P5" s="306"/>
      <c r="Q5" s="306"/>
      <c r="R5" s="306"/>
    </row>
    <row r="6" ht="15.15" spans="1:18">
      <c r="A6" s="306"/>
      <c r="B6" s="306"/>
      <c r="C6" s="306"/>
      <c r="D6" s="306"/>
      <c r="E6" s="314">
        <v>4</v>
      </c>
      <c r="F6" s="315" t="str">
        <f ca="1">VLOOKUP(4,当前时间策略!Q3:R29,2,0)</f>
        <v>彩船定向8h</v>
      </c>
      <c r="G6" s="314">
        <v>18</v>
      </c>
      <c r="H6" s="316" t="str">
        <f ca="1">VLOOKUP(18,当前时间策略!Q3:R29,2,0)</f>
        <v>资金募集4h</v>
      </c>
      <c r="I6" s="306"/>
      <c r="J6" s="370" t="s">
        <v>109</v>
      </c>
      <c r="K6" s="371"/>
      <c r="L6" s="372">
        <f ca="1">IF((L3+N4)&lt;L5,0,IF((L3+N4)&gt;N5,1,数据表!G66))</f>
        <v>0.0242375702653921</v>
      </c>
      <c r="M6" s="372"/>
      <c r="N6" s="373" t="s">
        <v>110</v>
      </c>
      <c r="O6" s="306"/>
      <c r="P6" s="306"/>
      <c r="Q6" s="306"/>
      <c r="R6" s="306"/>
    </row>
    <row r="7" ht="15.15" spans="1:18">
      <c r="A7" s="306"/>
      <c r="B7" s="306"/>
      <c r="C7" s="306"/>
      <c r="D7" s="306"/>
      <c r="E7" s="314">
        <v>5</v>
      </c>
      <c r="F7" s="315" t="str">
        <f ca="1">VLOOKUP(5,当前时间策略!Q3:R29,2,0)</f>
        <v>彩船定向2.5h</v>
      </c>
      <c r="G7" s="314">
        <v>19</v>
      </c>
      <c r="H7" s="316" t="str">
        <f ca="1">VLOOKUP(19,当前时间策略!Q3:R29,2,0)</f>
        <v>23期舰装解析1h</v>
      </c>
      <c r="I7" s="306"/>
      <c r="J7" s="306"/>
      <c r="K7" s="306"/>
      <c r="L7" s="306"/>
      <c r="M7" s="306"/>
      <c r="N7" s="306"/>
      <c r="O7" s="306"/>
      <c r="P7" s="306"/>
      <c r="Q7" s="306"/>
      <c r="R7" s="306"/>
    </row>
    <row r="8" ht="15.15" spans="1:18">
      <c r="A8" s="306"/>
      <c r="B8" s="306"/>
      <c r="C8" s="306"/>
      <c r="D8" s="306"/>
      <c r="E8" s="314">
        <v>6</v>
      </c>
      <c r="F8" s="315" t="str">
        <f ca="1">VLOOKUP(6,当前时间策略!Q3:R29,2,0)</f>
        <v>心智补全0.5h</v>
      </c>
      <c r="G8" s="314">
        <v>20</v>
      </c>
      <c r="H8" s="316" t="str">
        <f ca="1">VLOOKUP(20,当前时间策略!Q3:R29,2,0)</f>
        <v>魔方解析1h</v>
      </c>
      <c r="I8" s="306"/>
      <c r="J8" s="374" t="s">
        <v>111</v>
      </c>
      <c r="K8" s="375"/>
      <c r="L8" s="375"/>
      <c r="M8" s="375"/>
      <c r="N8" s="376"/>
      <c r="O8" s="306"/>
      <c r="P8" s="306"/>
      <c r="Q8" s="306"/>
      <c r="R8" s="306"/>
    </row>
    <row r="9" spans="1:18">
      <c r="A9" s="306"/>
      <c r="B9" s="317" t="str">
        <f ca="1">IF(数据表!K39=0,"这个点了咋还没睡","当前时间")</f>
        <v>当前时间</v>
      </c>
      <c r="C9" s="318"/>
      <c r="D9" s="318"/>
      <c r="E9" s="314">
        <v>7</v>
      </c>
      <c r="F9" s="315" t="str">
        <f ca="1">VLOOKUP(7,当前时间策略!Q3:R29,2,0)</f>
        <v>舰装解析2h</v>
      </c>
      <c r="G9" s="314">
        <v>21</v>
      </c>
      <c r="H9" s="316" t="str">
        <f ca="1">VLOOKUP(21,当前时间策略!Q3:R29,2,0)</f>
        <v>金数据收集4h</v>
      </c>
      <c r="I9" s="306"/>
      <c r="J9" s="377"/>
      <c r="K9" s="378"/>
      <c r="L9" s="378"/>
      <c r="M9" s="378"/>
      <c r="N9" s="379"/>
      <c r="O9" s="306"/>
      <c r="P9" s="306"/>
      <c r="Q9" s="306"/>
      <c r="R9" s="306"/>
    </row>
    <row r="10" ht="15.15" spans="1:18">
      <c r="A10" s="306"/>
      <c r="B10" s="319"/>
      <c r="C10" s="320"/>
      <c r="D10" s="320"/>
      <c r="E10" s="314">
        <v>8</v>
      </c>
      <c r="F10" s="315" t="str">
        <f ca="1">VLOOKUP(8,当前时间策略!Q3:R29,2,0)</f>
        <v>金船定向2.5h</v>
      </c>
      <c r="G10" s="314">
        <v>22</v>
      </c>
      <c r="H10" s="316" t="str">
        <f ca="1">VLOOKUP(22,当前时间策略!Q3:R29,2,0)</f>
        <v>基础研究12h</v>
      </c>
      <c r="I10" s="306"/>
      <c r="J10" s="377"/>
      <c r="K10" s="378"/>
      <c r="L10" s="378"/>
      <c r="M10" s="378"/>
      <c r="N10" s="379"/>
      <c r="O10" s="306"/>
      <c r="P10" s="306"/>
      <c r="Q10" s="306"/>
      <c r="R10" s="306"/>
    </row>
    <row r="11" ht="15" customHeight="1" spans="1:18">
      <c r="A11" s="306"/>
      <c r="B11" s="321">
        <f ca="1">NOW()</f>
        <v>44618.8408217593</v>
      </c>
      <c r="C11" s="322"/>
      <c r="D11" s="322"/>
      <c r="E11" s="314">
        <v>9</v>
      </c>
      <c r="F11" s="315" t="str">
        <f ca="1">VLOOKUP(9,当前时间策略!Q3:R29,2,0)</f>
        <v>资金募集2.5h</v>
      </c>
      <c r="G11" s="314">
        <v>23</v>
      </c>
      <c r="H11" s="316" t="str">
        <f ca="1">VLOOKUP(23,当前时间策略!Q3:R29,2,0)</f>
        <v>金船定向5h</v>
      </c>
      <c r="I11" s="306"/>
      <c r="J11" s="377"/>
      <c r="K11" s="378"/>
      <c r="L11" s="378"/>
      <c r="M11" s="378"/>
      <c r="N11" s="379"/>
      <c r="O11" s="306"/>
      <c r="P11" s="306"/>
      <c r="Q11" s="306"/>
      <c r="R11" s="306"/>
    </row>
    <row r="12" ht="15.6" spans="1:18">
      <c r="A12" s="306"/>
      <c r="B12" s="323"/>
      <c r="C12" s="324"/>
      <c r="D12" s="324"/>
      <c r="E12" s="325">
        <v>10</v>
      </c>
      <c r="F12" s="315" t="str">
        <f ca="1">VLOOKUP(10,当前时间策略!Q3:R29,2,0)</f>
        <v>资金募集1.5h</v>
      </c>
      <c r="G12" s="314">
        <v>24</v>
      </c>
      <c r="H12" s="316" t="str">
        <f ca="1">VLOOKUP(24,当前时间策略!Q3:R29,2,0)</f>
        <v>基础研究8h</v>
      </c>
      <c r="I12" s="306"/>
      <c r="J12" s="377"/>
      <c r="K12" s="378"/>
      <c r="L12" s="378"/>
      <c r="M12" s="378"/>
      <c r="N12" s="379"/>
      <c r="O12" s="306"/>
      <c r="P12" s="306"/>
      <c r="Q12" s="306"/>
      <c r="R12" s="306"/>
    </row>
    <row r="13" ht="15" customHeight="1" spans="1:18">
      <c r="A13" s="306"/>
      <c r="B13" s="323"/>
      <c r="C13" s="324"/>
      <c r="D13" s="324"/>
      <c r="E13" s="314">
        <v>11</v>
      </c>
      <c r="F13" s="315" t="str">
        <f ca="1">VLOOKUP(11,当前时间策略!Q3:R29,2,0)</f>
        <v>金船定向8h</v>
      </c>
      <c r="G13" s="314">
        <v>25</v>
      </c>
      <c r="H13" s="316" t="str">
        <f ca="1">VLOOKUP(25,当前时间策略!Q3:R29,2,0)</f>
        <v>基础研究6h</v>
      </c>
      <c r="I13" s="306"/>
      <c r="J13" s="377"/>
      <c r="K13" s="378"/>
      <c r="L13" s="378"/>
      <c r="M13" s="378"/>
      <c r="N13" s="379"/>
      <c r="O13" s="306"/>
      <c r="P13" s="306"/>
      <c r="Q13" s="306"/>
      <c r="R13" s="306"/>
    </row>
    <row r="14" ht="15.15" spans="1:18">
      <c r="A14" s="306"/>
      <c r="B14" s="326"/>
      <c r="C14" s="327"/>
      <c r="D14" s="327"/>
      <c r="E14" s="314">
        <v>12</v>
      </c>
      <c r="F14" s="315" t="str">
        <f ca="1">VLOOKUP(12,当前时间策略!Q3:R29,2,0)</f>
        <v>舰装解析1h</v>
      </c>
      <c r="G14" s="314">
        <v>26</v>
      </c>
      <c r="H14" s="316" t="str">
        <f ca="1">VLOOKUP(26,当前时间策略!Q3:R29,2,0)</f>
        <v>魔方解析2h</v>
      </c>
      <c r="I14" s="306"/>
      <c r="J14" s="377"/>
      <c r="K14" s="378"/>
      <c r="L14" s="378"/>
      <c r="M14" s="378"/>
      <c r="N14" s="379"/>
      <c r="O14" s="306"/>
      <c r="P14" s="306"/>
      <c r="Q14" s="306"/>
      <c r="R14" s="306"/>
    </row>
    <row r="15" ht="16" customHeight="1" spans="1:18">
      <c r="A15" s="306"/>
      <c r="B15" s="328" t="s">
        <v>112</v>
      </c>
      <c r="C15" s="329">
        <f ca="1">VLOOKUP(999,当前时间策略!C36:E61,3,0)</f>
        <v>13</v>
      </c>
      <c r="D15" s="330" t="s">
        <v>113</v>
      </c>
      <c r="E15" s="314">
        <v>13</v>
      </c>
      <c r="F15" s="315" t="str">
        <f ca="1">VLOOKUP(13,当前时间策略!Q3:R29,2,0)</f>
        <v>彩船定向5h</v>
      </c>
      <c r="G15" s="331">
        <v>27</v>
      </c>
      <c r="H15" s="332" t="str">
        <f ca="1">VLOOKUP(27,当前时间策略!Q3:R29,2,0)</f>
        <v>魔方解析4h</v>
      </c>
      <c r="I15" s="306"/>
      <c r="J15" s="377"/>
      <c r="K15" s="378"/>
      <c r="L15" s="378"/>
      <c r="M15" s="378"/>
      <c r="N15" s="379"/>
      <c r="O15" s="306"/>
      <c r="P15" s="306"/>
      <c r="Q15" s="306"/>
      <c r="R15" s="306"/>
    </row>
    <row r="16" ht="15" customHeight="1" spans="1:18">
      <c r="A16" s="306"/>
      <c r="B16" s="333" t="s">
        <v>114</v>
      </c>
      <c r="C16" s="334">
        <v>1.97916666666667</v>
      </c>
      <c r="D16" s="333" t="s">
        <v>115</v>
      </c>
      <c r="E16" s="335">
        <v>14</v>
      </c>
      <c r="F16" s="336" t="str">
        <f ca="1">VLOOKUP(14,当前时间策略!Q3:R29,2,0)</f>
        <v>试验品募集2h紫</v>
      </c>
      <c r="G16" s="337"/>
      <c r="H16" s="338"/>
      <c r="I16" s="306"/>
      <c r="J16" s="380"/>
      <c r="K16" s="381"/>
      <c r="L16" s="381"/>
      <c r="M16" s="381"/>
      <c r="N16" s="382"/>
      <c r="O16" s="306"/>
      <c r="P16" s="306"/>
      <c r="Q16" s="306"/>
      <c r="R16" s="306"/>
    </row>
    <row r="17" spans="1:18">
      <c r="A17" s="306"/>
      <c r="B17" s="339" t="s">
        <v>116</v>
      </c>
      <c r="C17" s="340"/>
      <c r="D17" s="340"/>
      <c r="E17" s="341"/>
      <c r="F17" s="342" t="s">
        <v>117</v>
      </c>
      <c r="G17" s="343"/>
      <c r="H17" s="306"/>
      <c r="I17" s="306"/>
      <c r="J17" s="383" t="s">
        <v>118</v>
      </c>
      <c r="K17" s="384"/>
      <c r="L17" s="384"/>
      <c r="M17" s="384"/>
      <c r="N17" s="385"/>
      <c r="O17" s="306"/>
      <c r="P17" s="306"/>
      <c r="Q17" s="306"/>
      <c r="R17" s="306"/>
    </row>
    <row r="18" ht="15.15" spans="1:18">
      <c r="A18" s="306"/>
      <c r="B18" s="339"/>
      <c r="C18" s="340"/>
      <c r="D18" s="340"/>
      <c r="E18" s="341"/>
      <c r="F18" s="344"/>
      <c r="G18" s="345"/>
      <c r="H18" s="306"/>
      <c r="I18" s="306"/>
      <c r="J18" s="386"/>
      <c r="K18" s="387"/>
      <c r="L18" s="387"/>
      <c r="M18" s="387"/>
      <c r="N18" s="388"/>
      <c r="O18" s="306"/>
      <c r="P18" s="306"/>
      <c r="Q18" s="306"/>
      <c r="R18" s="306"/>
    </row>
    <row r="19" spans="1:18">
      <c r="A19" s="306"/>
      <c r="B19" s="339"/>
      <c r="C19" s="340"/>
      <c r="D19" s="340"/>
      <c r="E19" s="341"/>
      <c r="F19" s="346" t="s">
        <v>119</v>
      </c>
      <c r="G19" s="347"/>
      <c r="H19" s="306"/>
      <c r="I19" s="306"/>
      <c r="J19" s="306"/>
      <c r="K19" s="306"/>
      <c r="L19" s="306"/>
      <c r="M19" s="306"/>
      <c r="N19" s="306"/>
      <c r="O19" s="306"/>
      <c r="P19" s="306"/>
      <c r="Q19" s="306"/>
      <c r="R19" s="306"/>
    </row>
    <row r="20" spans="1:18">
      <c r="A20" s="306"/>
      <c r="B20" s="339"/>
      <c r="C20" s="340"/>
      <c r="D20" s="340"/>
      <c r="E20" s="341"/>
      <c r="F20" s="348"/>
      <c r="G20" s="349"/>
      <c r="H20" s="306"/>
      <c r="I20" s="306"/>
      <c r="J20" s="306"/>
      <c r="K20" s="306"/>
      <c r="L20" s="306"/>
      <c r="M20" s="306"/>
      <c r="N20" s="306"/>
      <c r="O20" s="306"/>
      <c r="P20" s="306"/>
      <c r="Q20" s="306"/>
      <c r="R20" s="306"/>
    </row>
    <row r="21" spans="1:18">
      <c r="A21" s="306"/>
      <c r="B21" s="339"/>
      <c r="C21" s="340"/>
      <c r="D21" s="340"/>
      <c r="E21" s="341"/>
      <c r="F21" s="348"/>
      <c r="G21" s="349"/>
      <c r="H21" s="306"/>
      <c r="I21" s="306"/>
      <c r="J21" s="306"/>
      <c r="K21" s="306"/>
      <c r="L21" s="306"/>
      <c r="M21" s="306"/>
      <c r="N21" s="306"/>
      <c r="O21" s="306"/>
      <c r="P21" s="306"/>
      <c r="Q21" s="306"/>
      <c r="R21" s="306"/>
    </row>
    <row r="22" ht="15.15" spans="1:18">
      <c r="A22" s="306"/>
      <c r="B22" s="350"/>
      <c r="C22" s="351"/>
      <c r="D22" s="351"/>
      <c r="E22" s="352"/>
      <c r="F22" s="353"/>
      <c r="G22" s="354"/>
      <c r="H22" s="306"/>
      <c r="I22" s="306"/>
      <c r="J22" s="306"/>
      <c r="K22" s="306"/>
      <c r="L22" s="306"/>
      <c r="M22" s="306"/>
      <c r="N22" s="306"/>
      <c r="O22" s="306"/>
      <c r="P22" s="306"/>
      <c r="Q22" s="306"/>
      <c r="R22" s="306"/>
    </row>
    <row r="23" spans="1:18">
      <c r="A23" s="306"/>
      <c r="B23" s="306"/>
      <c r="C23" s="306"/>
      <c r="D23" s="306"/>
      <c r="E23" s="306"/>
      <c r="F23" s="306"/>
      <c r="G23" s="306"/>
      <c r="H23" s="306"/>
      <c r="I23" s="306"/>
      <c r="J23" s="306"/>
      <c r="K23" s="306"/>
      <c r="L23" s="306"/>
      <c r="M23" s="306"/>
      <c r="N23" s="306"/>
      <c r="O23" s="306"/>
      <c r="P23" s="306"/>
      <c r="Q23" s="306"/>
      <c r="R23" s="306"/>
    </row>
    <row r="24" spans="1:18">
      <c r="A24" s="306"/>
      <c r="B24" s="306"/>
      <c r="C24" s="306"/>
      <c r="D24" s="306"/>
      <c r="E24" s="306"/>
      <c r="F24" s="306"/>
      <c r="G24" s="306"/>
      <c r="H24" s="306"/>
      <c r="I24" s="306"/>
      <c r="J24" s="306"/>
      <c r="K24" s="306"/>
      <c r="L24" s="306"/>
      <c r="M24" s="306"/>
      <c r="N24" s="306"/>
      <c r="O24" s="306"/>
      <c r="P24" s="306"/>
      <c r="Q24" s="306"/>
      <c r="R24" s="306"/>
    </row>
    <row r="25" spans="1:18">
      <c r="A25" s="306"/>
      <c r="B25" s="306"/>
      <c r="C25" s="306"/>
      <c r="D25" s="306"/>
      <c r="E25" s="306"/>
      <c r="F25" s="306"/>
      <c r="G25" s="306"/>
      <c r="H25" s="306"/>
      <c r="I25" s="306"/>
      <c r="J25" s="306"/>
      <c r="K25" s="306"/>
      <c r="L25" s="306"/>
      <c r="M25" s="306"/>
      <c r="N25" s="306"/>
      <c r="O25" s="306"/>
      <c r="P25" s="306"/>
      <c r="Q25" s="306"/>
      <c r="R25" s="306"/>
    </row>
    <row r="26" spans="1:18">
      <c r="A26" s="306"/>
      <c r="B26" s="306"/>
      <c r="C26" s="306"/>
      <c r="D26" s="306"/>
      <c r="E26" s="306"/>
      <c r="F26" s="306"/>
      <c r="G26" s="306"/>
      <c r="H26" s="306"/>
      <c r="I26" s="306"/>
      <c r="J26" s="306"/>
      <c r="K26" s="306"/>
      <c r="L26" s="306"/>
      <c r="M26" s="306"/>
      <c r="N26" s="306"/>
      <c r="O26" s="306"/>
      <c r="P26" s="306"/>
      <c r="Q26" s="306"/>
      <c r="R26" s="306"/>
    </row>
    <row r="27" spans="1:18">
      <c r="A27" s="306"/>
      <c r="B27" s="306"/>
      <c r="C27" s="306"/>
      <c r="D27" s="306"/>
      <c r="E27" s="306"/>
      <c r="F27" s="306"/>
      <c r="G27" s="306"/>
      <c r="H27" s="306"/>
      <c r="I27" s="306"/>
      <c r="J27" s="306"/>
      <c r="K27" s="306"/>
      <c r="L27" s="306"/>
      <c r="M27" s="306"/>
      <c r="N27" s="306"/>
      <c r="O27" s="306"/>
      <c r="P27" s="306"/>
      <c r="Q27" s="306"/>
      <c r="R27" s="306"/>
    </row>
    <row r="28" spans="1:18">
      <c r="A28" s="306"/>
      <c r="B28" s="306"/>
      <c r="C28" s="306"/>
      <c r="D28" s="306"/>
      <c r="E28" s="306"/>
      <c r="F28" s="306"/>
      <c r="G28" s="306"/>
      <c r="H28" s="306"/>
      <c r="I28" s="306"/>
      <c r="J28" s="306"/>
      <c r="K28" s="306"/>
      <c r="L28" s="306"/>
      <c r="M28" s="306"/>
      <c r="N28" s="306"/>
      <c r="O28" s="306"/>
      <c r="P28" s="306"/>
      <c r="Q28" s="306"/>
      <c r="R28" s="306"/>
    </row>
    <row r="29" spans="1:18">
      <c r="A29" s="306"/>
      <c r="B29" s="306"/>
      <c r="C29" s="306"/>
      <c r="D29" s="306"/>
      <c r="E29" s="306"/>
      <c r="F29" s="306"/>
      <c r="G29" s="306"/>
      <c r="H29" s="306"/>
      <c r="I29" s="306"/>
      <c r="J29" s="306"/>
      <c r="K29" s="306"/>
      <c r="L29" s="306"/>
      <c r="M29" s="306"/>
      <c r="N29" s="306"/>
      <c r="O29" s="306"/>
      <c r="P29" s="306"/>
      <c r="Q29" s="306"/>
      <c r="R29" s="306"/>
    </row>
    <row r="30" spans="1:18">
      <c r="A30" s="306"/>
      <c r="B30" s="306"/>
      <c r="C30" s="306"/>
      <c r="D30" s="306"/>
      <c r="E30" s="306"/>
      <c r="F30" s="306"/>
      <c r="G30" s="306"/>
      <c r="H30" s="306"/>
      <c r="I30" s="306"/>
      <c r="J30" s="306"/>
      <c r="K30" s="306"/>
      <c r="L30" s="306"/>
      <c r="M30" s="306"/>
      <c r="N30" s="306"/>
      <c r="O30" s="306"/>
      <c r="P30" s="306"/>
      <c r="Q30" s="306"/>
      <c r="R30" s="306"/>
    </row>
  </sheetData>
  <mergeCells count="13">
    <mergeCell ref="J2:N2"/>
    <mergeCell ref="J3:K3"/>
    <mergeCell ref="L3:N3"/>
    <mergeCell ref="J4:M4"/>
    <mergeCell ref="J5:K5"/>
    <mergeCell ref="L6:M6"/>
    <mergeCell ref="B17:E22"/>
    <mergeCell ref="F17:G18"/>
    <mergeCell ref="F19:G22"/>
    <mergeCell ref="B9:D10"/>
    <mergeCell ref="B11:D14"/>
    <mergeCell ref="J8:N16"/>
    <mergeCell ref="J17:N18"/>
  </mergeCells>
  <conditionalFormatting sqref="E3:F3">
    <cfRule type="expression" dxfId="1" priority="27">
      <formula>$C$15&lt;1</formula>
    </cfRule>
  </conditionalFormatting>
  <conditionalFormatting sqref="G3:H3">
    <cfRule type="expression" dxfId="1" priority="13">
      <formula>$C$15&lt;15</formula>
    </cfRule>
  </conditionalFormatting>
  <conditionalFormatting sqref="E4:F4">
    <cfRule type="expression" dxfId="1" priority="26">
      <formula>$C$15&lt;2</formula>
    </cfRule>
  </conditionalFormatting>
  <conditionalFormatting sqref="G4:H4">
    <cfRule type="expression" dxfId="1" priority="12">
      <formula>$C$15&lt;16</formula>
    </cfRule>
  </conditionalFormatting>
  <conditionalFormatting sqref="E5:F5">
    <cfRule type="expression" dxfId="1" priority="24">
      <formula>$C$15&lt;3</formula>
    </cfRule>
  </conditionalFormatting>
  <conditionalFormatting sqref="G5:H5">
    <cfRule type="expression" dxfId="1" priority="11">
      <formula>$C$15&lt;17</formula>
    </cfRule>
  </conditionalFormatting>
  <conditionalFormatting sqref="E6:F6">
    <cfRule type="expression" dxfId="1" priority="23">
      <formula>$C$15&lt;4</formula>
    </cfRule>
  </conditionalFormatting>
  <conditionalFormatting sqref="G6:H6">
    <cfRule type="expression" dxfId="1" priority="10">
      <formula>$C$15&lt;18</formula>
    </cfRule>
  </conditionalFormatting>
  <conditionalFormatting sqref="E7:F7">
    <cfRule type="expression" dxfId="1" priority="22">
      <formula>$C$15&lt;5</formula>
    </cfRule>
  </conditionalFormatting>
  <conditionalFormatting sqref="G7:H7">
    <cfRule type="expression" dxfId="1" priority="9">
      <formula>$C$15&lt;19</formula>
    </cfRule>
  </conditionalFormatting>
  <conditionalFormatting sqref="E8:F8">
    <cfRule type="expression" priority="21">
      <formula>$C$15&lt;6</formula>
    </cfRule>
  </conditionalFormatting>
  <conditionalFormatting sqref="G8:H8">
    <cfRule type="expression" dxfId="1" priority="8">
      <formula>$C$15&lt;20</formula>
    </cfRule>
  </conditionalFormatting>
  <conditionalFormatting sqref="E9:F9">
    <cfRule type="expression" dxfId="1" priority="20">
      <formula>$C$15&lt;7</formula>
    </cfRule>
  </conditionalFormatting>
  <conditionalFormatting sqref="G9:H9">
    <cfRule type="expression" dxfId="1" priority="7">
      <formula>$C$15&lt;21</formula>
    </cfRule>
  </conditionalFormatting>
  <conditionalFormatting sqref="E10:F10">
    <cfRule type="expression" dxfId="1" priority="19">
      <formula>$C$15&lt;8</formula>
    </cfRule>
  </conditionalFormatting>
  <conditionalFormatting sqref="G10:H10">
    <cfRule type="expression" dxfId="1" priority="6">
      <formula>$C$15&lt;22</formula>
    </cfRule>
  </conditionalFormatting>
  <conditionalFormatting sqref="E11:F11">
    <cfRule type="expression" dxfId="1" priority="18">
      <formula>$C$15&lt;9</formula>
    </cfRule>
  </conditionalFormatting>
  <conditionalFormatting sqref="G11:H11">
    <cfRule type="expression" dxfId="1" priority="5">
      <formula>$C$15&lt;23</formula>
    </cfRule>
  </conditionalFormatting>
  <conditionalFormatting sqref="E12:F12">
    <cfRule type="expression" dxfId="1" priority="17">
      <formula>$C$15&lt;10</formula>
    </cfRule>
  </conditionalFormatting>
  <conditionalFormatting sqref="G12:H12">
    <cfRule type="expression" dxfId="1" priority="4">
      <formula>$C$15&lt;24</formula>
    </cfRule>
  </conditionalFormatting>
  <conditionalFormatting sqref="E13:F13">
    <cfRule type="expression" dxfId="1" priority="16">
      <formula>$C$15&lt;11</formula>
    </cfRule>
  </conditionalFormatting>
  <conditionalFormatting sqref="G13:H13">
    <cfRule type="expression" dxfId="1" priority="3">
      <formula>$C$15&lt;25</formula>
    </cfRule>
  </conditionalFormatting>
  <conditionalFormatting sqref="E14:F14">
    <cfRule type="expression" dxfId="1" priority="15">
      <formula>$C$15&lt;12</formula>
    </cfRule>
  </conditionalFormatting>
  <conditionalFormatting sqref="G14:H14">
    <cfRule type="expression" dxfId="1" priority="2">
      <formula>$C$15&lt;26</formula>
    </cfRule>
  </conditionalFormatting>
  <conditionalFormatting sqref="E15:F15">
    <cfRule type="expression" dxfId="1" priority="25">
      <formula>$C$15&lt;13</formula>
    </cfRule>
  </conditionalFormatting>
  <conditionalFormatting sqref="G15:H15">
    <cfRule type="expression" dxfId="1" priority="1">
      <formula>$C$15&lt;$G$15</formula>
    </cfRule>
  </conditionalFormatting>
  <conditionalFormatting sqref="E16:F16">
    <cfRule type="expression" dxfId="1"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workbookViewId="0">
      <selection activeCell="M1" sqref="M1"/>
    </sheetView>
  </sheetViews>
  <sheetFormatPr defaultColWidth="8.88888888888889" defaultRowHeight="14.4"/>
  <cols>
    <col min="4" max="4" width="10.2222222222222" customWidth="1"/>
    <col min="13" max="13" width="9.44444444444444" customWidth="1"/>
  </cols>
  <sheetData>
    <row r="1" ht="17.55" spans="1:1">
      <c r="A1" s="211"/>
    </row>
    <row r="2" spans="4:13">
      <c r="D2" s="212" t="s">
        <v>120</v>
      </c>
      <c r="E2" s="213"/>
      <c r="F2" s="213"/>
      <c r="G2" s="213"/>
      <c r="H2" s="213"/>
      <c r="I2" s="213"/>
      <c r="J2" s="213"/>
      <c r="K2" s="213"/>
      <c r="L2" s="213"/>
      <c r="M2" s="277"/>
    </row>
    <row r="3" ht="15.15" spans="4:13">
      <c r="D3" s="214"/>
      <c r="E3" s="215"/>
      <c r="F3" s="215"/>
      <c r="G3" s="215"/>
      <c r="H3" s="215"/>
      <c r="I3" s="215"/>
      <c r="J3" s="215"/>
      <c r="K3" s="215"/>
      <c r="L3" s="215"/>
      <c r="M3" s="278"/>
    </row>
    <row r="4" spans="4:13">
      <c r="D4" s="216" t="s">
        <v>121</v>
      </c>
      <c r="E4" s="217"/>
      <c r="F4" s="217"/>
      <c r="G4" s="217"/>
      <c r="H4" s="217"/>
      <c r="I4" s="217"/>
      <c r="J4" s="217"/>
      <c r="K4" s="217"/>
      <c r="L4" s="279"/>
      <c r="M4" s="279"/>
    </row>
    <row r="5" ht="15.15" spans="4:13">
      <c r="D5" s="218"/>
      <c r="E5" s="219"/>
      <c r="F5" s="219"/>
      <c r="G5" s="219"/>
      <c r="H5" s="219"/>
      <c r="I5" s="219"/>
      <c r="J5" s="219"/>
      <c r="K5" s="219"/>
      <c r="L5" s="280"/>
      <c r="M5" s="280"/>
    </row>
    <row r="6" spans="4:13">
      <c r="D6" s="220" t="s">
        <v>122</v>
      </c>
      <c r="E6" s="221"/>
      <c r="F6" s="221"/>
      <c r="G6" s="221"/>
      <c r="H6" s="221"/>
      <c r="I6" s="221"/>
      <c r="J6" s="221"/>
      <c r="K6" s="221"/>
      <c r="L6" s="221"/>
      <c r="M6" s="281"/>
    </row>
    <row r="7" spans="4:13">
      <c r="D7" s="222"/>
      <c r="E7" s="223"/>
      <c r="F7" s="223"/>
      <c r="G7" s="223"/>
      <c r="H7" s="223"/>
      <c r="I7" s="223"/>
      <c r="J7" s="223"/>
      <c r="K7" s="223"/>
      <c r="L7" s="223"/>
      <c r="M7" s="282"/>
    </row>
    <row r="8" spans="4:13">
      <c r="D8" s="222"/>
      <c r="E8" s="223"/>
      <c r="F8" s="223"/>
      <c r="G8" s="223"/>
      <c r="H8" s="223"/>
      <c r="I8" s="223"/>
      <c r="J8" s="223"/>
      <c r="K8" s="223"/>
      <c r="L8" s="223"/>
      <c r="M8" s="282"/>
    </row>
    <row r="9" spans="4:13">
      <c r="D9" s="222"/>
      <c r="E9" s="223"/>
      <c r="F9" s="223"/>
      <c r="G9" s="223"/>
      <c r="H9" s="223"/>
      <c r="I9" s="223"/>
      <c r="J9" s="223"/>
      <c r="K9" s="223"/>
      <c r="L9" s="223"/>
      <c r="M9" s="282"/>
    </row>
    <row r="10" ht="15.15" spans="4:13">
      <c r="D10" s="222"/>
      <c r="E10" s="224"/>
      <c r="F10" s="224"/>
      <c r="G10" s="224"/>
      <c r="H10" s="224"/>
      <c r="I10" s="224"/>
      <c r="J10" s="224"/>
      <c r="K10" s="224"/>
      <c r="L10" s="224"/>
      <c r="M10" s="282"/>
    </row>
    <row r="11" spans="4:13">
      <c r="D11" s="220" t="s">
        <v>123</v>
      </c>
      <c r="E11" s="221"/>
      <c r="F11" s="221"/>
      <c r="G11" s="221"/>
      <c r="H11" s="221"/>
      <c r="I11" s="221"/>
      <c r="J11" s="221"/>
      <c r="K11" s="221"/>
      <c r="L11" s="221"/>
      <c r="M11" s="281"/>
    </row>
    <row r="12" spans="4:13">
      <c r="D12" s="222"/>
      <c r="E12" s="223"/>
      <c r="F12" s="223"/>
      <c r="G12" s="223"/>
      <c r="H12" s="223"/>
      <c r="I12" s="223"/>
      <c r="J12" s="223"/>
      <c r="K12" s="223"/>
      <c r="L12" s="223"/>
      <c r="M12" s="282"/>
    </row>
    <row r="13" spans="4:13">
      <c r="D13" s="222"/>
      <c r="E13" s="223"/>
      <c r="F13" s="223"/>
      <c r="G13" s="223"/>
      <c r="H13" s="223"/>
      <c r="I13" s="223"/>
      <c r="J13" s="223"/>
      <c r="K13" s="223"/>
      <c r="L13" s="223"/>
      <c r="M13" s="282"/>
    </row>
    <row r="14" spans="4:13">
      <c r="D14" s="222"/>
      <c r="E14" s="223"/>
      <c r="F14" s="223"/>
      <c r="G14" s="223"/>
      <c r="H14" s="223"/>
      <c r="I14" s="223"/>
      <c r="J14" s="223"/>
      <c r="K14" s="223"/>
      <c r="L14" s="223"/>
      <c r="M14" s="282"/>
    </row>
    <row r="15" ht="15.15" spans="4:13">
      <c r="D15" s="225"/>
      <c r="E15" s="226"/>
      <c r="F15" s="226"/>
      <c r="G15" s="226"/>
      <c r="H15" s="226"/>
      <c r="I15" s="226"/>
      <c r="J15" s="226"/>
      <c r="K15" s="226"/>
      <c r="L15" s="226"/>
      <c r="M15" s="283"/>
    </row>
    <row r="16" spans="4:13">
      <c r="D16" s="227" t="s">
        <v>124</v>
      </c>
      <c r="E16" s="228"/>
      <c r="F16" s="228"/>
      <c r="G16" s="228"/>
      <c r="H16" s="228"/>
      <c r="I16" s="228"/>
      <c r="J16" s="228"/>
      <c r="K16" s="228"/>
      <c r="L16" s="228"/>
      <c r="M16" s="284"/>
    </row>
    <row r="17" spans="4:13">
      <c r="D17" s="229"/>
      <c r="E17" s="230"/>
      <c r="F17" s="230"/>
      <c r="G17" s="230"/>
      <c r="H17" s="230"/>
      <c r="I17" s="230"/>
      <c r="J17" s="230"/>
      <c r="K17" s="230"/>
      <c r="L17" s="230"/>
      <c r="M17" s="285"/>
    </row>
    <row r="18" ht="15.15" spans="4:13">
      <c r="D18" s="231"/>
      <c r="E18" s="232"/>
      <c r="F18" s="232"/>
      <c r="G18" s="232"/>
      <c r="H18" s="232"/>
      <c r="I18" s="232"/>
      <c r="J18" s="232"/>
      <c r="K18" s="232"/>
      <c r="L18" s="232"/>
      <c r="M18" s="286"/>
    </row>
    <row r="19" spans="4:13">
      <c r="D19" s="233" t="s">
        <v>125</v>
      </c>
      <c r="E19" s="234"/>
      <c r="F19" s="234"/>
      <c r="G19" s="234"/>
      <c r="H19" s="234"/>
      <c r="I19" s="234"/>
      <c r="J19" s="234"/>
      <c r="K19" s="234"/>
      <c r="L19" s="234"/>
      <c r="M19" s="287"/>
    </row>
    <row r="20" ht="15.15" spans="4:13">
      <c r="D20" s="235"/>
      <c r="E20" s="236"/>
      <c r="F20" s="236"/>
      <c r="G20" s="236"/>
      <c r="H20" s="236"/>
      <c r="I20" s="236"/>
      <c r="J20" s="236"/>
      <c r="K20" s="236"/>
      <c r="L20" s="236"/>
      <c r="M20" s="288"/>
    </row>
    <row r="21" spans="4:13">
      <c r="D21" s="237" t="s">
        <v>126</v>
      </c>
      <c r="E21" s="238"/>
      <c r="F21" s="238"/>
      <c r="G21" s="238"/>
      <c r="H21" s="238"/>
      <c r="I21" s="238"/>
      <c r="J21" s="238"/>
      <c r="K21" s="238"/>
      <c r="L21" s="238"/>
      <c r="M21" s="289"/>
    </row>
    <row r="22" spans="4:13">
      <c r="D22" s="239"/>
      <c r="E22" s="240"/>
      <c r="F22" s="240"/>
      <c r="G22" s="240"/>
      <c r="H22" s="240"/>
      <c r="I22" s="240"/>
      <c r="J22" s="240"/>
      <c r="K22" s="240"/>
      <c r="L22" s="240"/>
      <c r="M22" s="290"/>
    </row>
    <row r="23" spans="4:13">
      <c r="D23" s="239"/>
      <c r="E23" s="240"/>
      <c r="F23" s="240"/>
      <c r="G23" s="240"/>
      <c r="H23" s="240"/>
      <c r="I23" s="240"/>
      <c r="J23" s="240"/>
      <c r="K23" s="240"/>
      <c r="L23" s="240"/>
      <c r="M23" s="290"/>
    </row>
    <row r="24" spans="4:13">
      <c r="D24" s="239"/>
      <c r="E24" s="240"/>
      <c r="F24" s="240"/>
      <c r="G24" s="240"/>
      <c r="H24" s="240"/>
      <c r="I24" s="240"/>
      <c r="J24" s="240"/>
      <c r="K24" s="240"/>
      <c r="L24" s="240"/>
      <c r="M24" s="290"/>
    </row>
    <row r="25" spans="4:13">
      <c r="D25" s="239"/>
      <c r="E25" s="240"/>
      <c r="F25" s="240"/>
      <c r="G25" s="240"/>
      <c r="H25" s="240"/>
      <c r="I25" s="240"/>
      <c r="J25" s="240"/>
      <c r="K25" s="240"/>
      <c r="L25" s="240"/>
      <c r="M25" s="290"/>
    </row>
    <row r="26" spans="4:13">
      <c r="D26" s="241"/>
      <c r="E26" s="242"/>
      <c r="F26" s="242"/>
      <c r="G26" s="242"/>
      <c r="H26" s="242"/>
      <c r="I26" s="242"/>
      <c r="J26" s="242"/>
      <c r="K26" s="242"/>
      <c r="L26" s="242"/>
      <c r="M26" s="291"/>
    </row>
    <row r="27" ht="15.15" spans="4:13">
      <c r="D27" s="243"/>
      <c r="E27" s="244"/>
      <c r="F27" s="244"/>
      <c r="G27" s="244"/>
      <c r="H27" s="244"/>
      <c r="I27" s="244"/>
      <c r="J27" s="244"/>
      <c r="K27" s="244"/>
      <c r="L27" s="244"/>
      <c r="M27" s="292"/>
    </row>
    <row r="28" spans="4:13">
      <c r="D28" s="222" t="s">
        <v>127</v>
      </c>
      <c r="E28" s="223"/>
      <c r="F28" s="223"/>
      <c r="G28" s="223"/>
      <c r="H28" s="223"/>
      <c r="I28" s="223"/>
      <c r="J28" s="223"/>
      <c r="K28" s="223"/>
      <c r="L28" s="223"/>
      <c r="M28" s="282"/>
    </row>
    <row r="29" spans="4:13">
      <c r="D29" s="222"/>
      <c r="E29" s="223"/>
      <c r="F29" s="223"/>
      <c r="G29" s="223"/>
      <c r="H29" s="223"/>
      <c r="I29" s="223"/>
      <c r="J29" s="223"/>
      <c r="K29" s="223"/>
      <c r="L29" s="223"/>
      <c r="M29" s="282"/>
    </row>
    <row r="30" spans="4:13">
      <c r="D30" s="222"/>
      <c r="E30" s="223"/>
      <c r="F30" s="223"/>
      <c r="G30" s="223"/>
      <c r="H30" s="223"/>
      <c r="I30" s="223"/>
      <c r="J30" s="223"/>
      <c r="K30" s="223"/>
      <c r="L30" s="223"/>
      <c r="M30" s="282"/>
    </row>
    <row r="31" ht="15.15" spans="4:13">
      <c r="D31" s="222"/>
      <c r="E31" s="223"/>
      <c r="F31" s="223"/>
      <c r="G31" s="223"/>
      <c r="H31" s="223"/>
      <c r="I31" s="223"/>
      <c r="J31" s="223"/>
      <c r="K31" s="223"/>
      <c r="L31" s="223"/>
      <c r="M31" s="282"/>
    </row>
    <row r="32" ht="14" customHeight="1" spans="4:13">
      <c r="D32" s="245" t="s">
        <v>128</v>
      </c>
      <c r="E32" s="246"/>
      <c r="F32" s="246"/>
      <c r="G32" s="246"/>
      <c r="H32" s="246"/>
      <c r="I32" s="246"/>
      <c r="J32" s="246"/>
      <c r="K32" s="246"/>
      <c r="L32" s="246"/>
      <c r="M32" s="293"/>
    </row>
    <row r="33" ht="15.15" spans="4:13">
      <c r="D33" s="247"/>
      <c r="E33" s="248"/>
      <c r="F33" s="248"/>
      <c r="G33" s="248"/>
      <c r="H33" s="248"/>
      <c r="I33" s="248"/>
      <c r="J33" s="248"/>
      <c r="K33" s="248"/>
      <c r="L33" s="248"/>
      <c r="M33" s="294"/>
    </row>
    <row r="34" ht="15" customHeight="1" spans="4:13">
      <c r="D34" s="249" t="s">
        <v>129</v>
      </c>
      <c r="E34" s="250"/>
      <c r="F34" s="250"/>
      <c r="G34" s="250"/>
      <c r="H34" s="250"/>
      <c r="I34" s="250"/>
      <c r="J34" s="250"/>
      <c r="K34" s="250"/>
      <c r="L34" s="250"/>
      <c r="M34" s="295"/>
    </row>
    <row r="35" ht="15.15" spans="4:13">
      <c r="D35" s="251"/>
      <c r="E35" s="252"/>
      <c r="F35" s="252"/>
      <c r="G35" s="252"/>
      <c r="H35" s="252"/>
      <c r="I35" s="252"/>
      <c r="J35" s="252"/>
      <c r="K35" s="252"/>
      <c r="L35" s="252"/>
      <c r="M35" s="296"/>
    </row>
    <row r="36" spans="4:13">
      <c r="D36" s="253" t="s">
        <v>130</v>
      </c>
      <c r="E36" s="254"/>
      <c r="F36" s="254"/>
      <c r="G36" s="254"/>
      <c r="H36" s="254"/>
      <c r="I36" s="254"/>
      <c r="J36" s="254"/>
      <c r="K36" s="254"/>
      <c r="L36" s="254"/>
      <c r="M36" s="297"/>
    </row>
    <row r="37" ht="15.15" spans="4:13">
      <c r="D37" s="255"/>
      <c r="E37" s="256"/>
      <c r="F37" s="256"/>
      <c r="G37" s="256"/>
      <c r="H37" s="256"/>
      <c r="I37" s="256"/>
      <c r="J37" s="256"/>
      <c r="K37" s="256"/>
      <c r="L37" s="256"/>
      <c r="M37" s="298"/>
    </row>
    <row r="38" spans="4:13">
      <c r="D38" s="257" t="s">
        <v>131</v>
      </c>
      <c r="E38" s="258"/>
      <c r="F38" s="258"/>
      <c r="G38" s="258"/>
      <c r="H38" s="258"/>
      <c r="I38" s="258"/>
      <c r="J38" s="258"/>
      <c r="K38" s="258"/>
      <c r="L38" s="258"/>
      <c r="M38" s="299"/>
    </row>
    <row r="39" ht="32" customHeight="1" spans="4:13">
      <c r="D39" s="259"/>
      <c r="E39" s="260"/>
      <c r="F39" s="260"/>
      <c r="G39" s="260"/>
      <c r="H39" s="260"/>
      <c r="I39" s="260"/>
      <c r="J39" s="260"/>
      <c r="K39" s="260"/>
      <c r="L39" s="260"/>
      <c r="M39" s="300"/>
    </row>
    <row r="41" ht="15.15"/>
    <row r="42" spans="2:16">
      <c r="B42" s="261" t="s">
        <v>132</v>
      </c>
      <c r="C42" s="262"/>
      <c r="D42" s="263"/>
      <c r="E42" s="264" t="s">
        <v>133</v>
      </c>
      <c r="F42" s="262"/>
      <c r="G42" s="263"/>
      <c r="H42" s="264" t="s">
        <v>134</v>
      </c>
      <c r="I42" s="262"/>
      <c r="J42" s="263"/>
      <c r="K42" s="264" t="s">
        <v>135</v>
      </c>
      <c r="L42" s="262"/>
      <c r="M42" s="263"/>
      <c r="N42" s="264" t="s">
        <v>17</v>
      </c>
      <c r="O42" s="262"/>
      <c r="P42" s="301"/>
    </row>
    <row r="43" spans="2:16">
      <c r="B43" s="265" t="s">
        <v>136</v>
      </c>
      <c r="C43" s="266"/>
      <c r="D43" s="267">
        <v>70</v>
      </c>
      <c r="E43" s="268" t="s">
        <v>137</v>
      </c>
      <c r="F43" s="268"/>
      <c r="G43" s="267">
        <v>200</v>
      </c>
      <c r="H43" s="269" t="s">
        <v>138</v>
      </c>
      <c r="I43" s="266"/>
      <c r="J43" s="267" t="s">
        <v>139</v>
      </c>
      <c r="K43" s="269" t="s">
        <v>140</v>
      </c>
      <c r="L43" s="266"/>
      <c r="M43" s="267">
        <v>12</v>
      </c>
      <c r="N43" s="269" t="s">
        <v>141</v>
      </c>
      <c r="O43" s="266"/>
      <c r="P43" s="302">
        <v>0</v>
      </c>
    </row>
    <row r="44" spans="2:16">
      <c r="B44" s="265" t="s">
        <v>142</v>
      </c>
      <c r="C44" s="266"/>
      <c r="D44" s="267">
        <v>0</v>
      </c>
      <c r="E44" s="268" t="s">
        <v>143</v>
      </c>
      <c r="F44" s="268"/>
      <c r="G44" s="267">
        <v>130</v>
      </c>
      <c r="H44" s="269" t="s">
        <v>144</v>
      </c>
      <c r="I44" s="266"/>
      <c r="J44" s="267">
        <v>6</v>
      </c>
      <c r="K44" s="269" t="s">
        <v>145</v>
      </c>
      <c r="L44" s="266"/>
      <c r="M44" s="267">
        <v>8</v>
      </c>
      <c r="N44" s="269" t="s">
        <v>146</v>
      </c>
      <c r="O44" s="266"/>
      <c r="P44" s="302">
        <v>20</v>
      </c>
    </row>
    <row r="45" spans="2:16">
      <c r="B45" s="265" t="s">
        <v>147</v>
      </c>
      <c r="C45" s="266"/>
      <c r="D45" s="267">
        <v>20</v>
      </c>
      <c r="E45" s="269" t="s">
        <v>148</v>
      </c>
      <c r="F45" s="266"/>
      <c r="G45" s="267" t="s">
        <v>149</v>
      </c>
      <c r="H45" s="269" t="s">
        <v>150</v>
      </c>
      <c r="I45" s="266"/>
      <c r="J45" s="267">
        <v>2</v>
      </c>
      <c r="K45" s="269" t="s">
        <v>151</v>
      </c>
      <c r="L45" s="266"/>
      <c r="M45" s="267">
        <v>18</v>
      </c>
      <c r="N45" s="269" t="s">
        <v>152</v>
      </c>
      <c r="O45" s="266"/>
      <c r="P45" s="302">
        <v>100</v>
      </c>
    </row>
    <row r="46" spans="2:16">
      <c r="B46" s="265" t="s">
        <v>153</v>
      </c>
      <c r="C46" s="266"/>
      <c r="D46" s="267">
        <v>60</v>
      </c>
      <c r="E46" s="268" t="s">
        <v>154</v>
      </c>
      <c r="F46" s="268"/>
      <c r="G46" s="267">
        <v>30</v>
      </c>
      <c r="H46" s="269" t="s">
        <v>155</v>
      </c>
      <c r="I46" s="266"/>
      <c r="J46" s="267">
        <v>1</v>
      </c>
      <c r="K46" s="269" t="s">
        <v>156</v>
      </c>
      <c r="L46" s="266"/>
      <c r="M46" s="267">
        <v>80</v>
      </c>
      <c r="N46" s="269" t="s">
        <v>157</v>
      </c>
      <c r="O46" s="266"/>
      <c r="P46" s="303" t="s">
        <v>158</v>
      </c>
    </row>
    <row r="47" ht="15.15" spans="2:16">
      <c r="B47" s="270" t="s">
        <v>159</v>
      </c>
      <c r="C47" s="271"/>
      <c r="D47" s="272">
        <v>50</v>
      </c>
      <c r="E47" s="273" t="s">
        <v>160</v>
      </c>
      <c r="F47" s="273"/>
      <c r="G47" s="272">
        <v>0</v>
      </c>
      <c r="H47" s="274"/>
      <c r="I47" s="271"/>
      <c r="J47" s="272"/>
      <c r="K47" s="274" t="s">
        <v>161</v>
      </c>
      <c r="L47" s="271"/>
      <c r="M47" s="272" t="s">
        <v>162</v>
      </c>
      <c r="N47" s="274"/>
      <c r="O47" s="271"/>
      <c r="P47" s="304"/>
    </row>
    <row r="48" ht="15.15" spans="2:16">
      <c r="B48" s="275" t="s">
        <v>163</v>
      </c>
      <c r="C48" s="276"/>
      <c r="D48" s="276"/>
      <c r="E48" s="276"/>
      <c r="F48" s="276"/>
      <c r="G48" s="276"/>
      <c r="H48" s="276"/>
      <c r="I48" s="276"/>
      <c r="J48" s="276"/>
      <c r="K48" s="276"/>
      <c r="L48" s="276"/>
      <c r="M48" s="276"/>
      <c r="N48" s="276"/>
      <c r="O48" s="276"/>
      <c r="P48" s="305"/>
    </row>
    <row r="59" spans="2:2">
      <c r="B59" s="102"/>
    </row>
    <row r="60" spans="2:3">
      <c r="B60" s="102"/>
      <c r="C60" s="102"/>
    </row>
    <row r="61" spans="2:3">
      <c r="B61" s="102"/>
      <c r="C61" s="102"/>
    </row>
    <row r="62" spans="3:3">
      <c r="C62" s="102"/>
    </row>
  </sheetData>
  <mergeCells count="43">
    <mergeCell ref="B42:D42"/>
    <mergeCell ref="E42:G42"/>
    <mergeCell ref="H42:J42"/>
    <mergeCell ref="K42:M42"/>
    <mergeCell ref="N42:P42"/>
    <mergeCell ref="B43:C43"/>
    <mergeCell ref="E43:F43"/>
    <mergeCell ref="H43:I43"/>
    <mergeCell ref="K43:L43"/>
    <mergeCell ref="N43:O43"/>
    <mergeCell ref="B44:C44"/>
    <mergeCell ref="E44:F44"/>
    <mergeCell ref="H44:I44"/>
    <mergeCell ref="K44:L44"/>
    <mergeCell ref="N44:O44"/>
    <mergeCell ref="B45:C45"/>
    <mergeCell ref="E45:F45"/>
    <mergeCell ref="H45:I45"/>
    <mergeCell ref="K45:L45"/>
    <mergeCell ref="N45:O45"/>
    <mergeCell ref="B46:C46"/>
    <mergeCell ref="E46:F46"/>
    <mergeCell ref="H46:I46"/>
    <mergeCell ref="K46:L46"/>
    <mergeCell ref="N46:O46"/>
    <mergeCell ref="B47:C47"/>
    <mergeCell ref="E47:F47"/>
    <mergeCell ref="H47:I47"/>
    <mergeCell ref="K47:L47"/>
    <mergeCell ref="N47:O47"/>
    <mergeCell ref="B48:P48"/>
    <mergeCell ref="D2:M3"/>
    <mergeCell ref="D6:M10"/>
    <mergeCell ref="D4:M5"/>
    <mergeCell ref="D34:M35"/>
    <mergeCell ref="D32:M33"/>
    <mergeCell ref="D36:M37"/>
    <mergeCell ref="D38:M39"/>
    <mergeCell ref="D16:M18"/>
    <mergeCell ref="D28:M31"/>
    <mergeCell ref="D21:M27"/>
    <mergeCell ref="D19:M20"/>
    <mergeCell ref="D11:M15"/>
  </mergeCells>
  <hyperlinks>
    <hyperlink ref="D34:M34" r:id="rId1" display="表格作者：天谴之羊（这是pvzup别看了）"/>
    <hyperlink ref="D36:M37" r:id="rId2" display="更多攻略，尽在碧蓝航线wiki"/>
    <hyperlink ref="D38:M39" r:id="rId3" display="使用了@負けん気な瞳的的科研测试数据作为模拟科研的数据支撑&#10;"/>
    <hyperlink ref="D4:L5" location="'倾向-优先级表'!A1" display="点击进入倾向-优先级表"/>
    <hyperlink ref="D19:M20" location="表格使用说明!A50" display="表格使用说明下方有对倾向填写的较具体参考数值"/>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opLeftCell="F85" workbookViewId="0">
      <selection activeCell="K90" sqref="K90"/>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4"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18</v>
      </c>
      <c r="B1" t="s">
        <v>164</v>
      </c>
      <c r="C1">
        <f>数据表!I3</f>
        <v>23</v>
      </c>
      <c r="D1" t="s">
        <v>164</v>
      </c>
      <c r="F1" s="1" t="s">
        <v>34</v>
      </c>
      <c r="G1" s="2"/>
      <c r="H1" s="1" t="s">
        <v>165</v>
      </c>
      <c r="I1" s="2"/>
      <c r="J1" s="1" t="s">
        <v>166</v>
      </c>
      <c r="K1" s="2"/>
      <c r="L1" s="1" t="s">
        <v>167</v>
      </c>
      <c r="M1" s="2"/>
      <c r="N1" s="1" t="s">
        <v>168</v>
      </c>
      <c r="O1" s="53"/>
      <c r="P1" s="53"/>
      <c r="Q1" s="2"/>
      <c r="R1" s="181" t="s">
        <v>169</v>
      </c>
      <c r="S1" s="182"/>
      <c r="T1" s="182"/>
      <c r="U1" s="183"/>
      <c r="V1" s="184"/>
    </row>
    <row r="2" ht="16.35" spans="1:23">
      <c r="A2">
        <f>数据表!H4</f>
        <v>22</v>
      </c>
      <c r="B2" t="s">
        <v>170</v>
      </c>
      <c r="C2">
        <f>数据表!I4</f>
        <v>25</v>
      </c>
      <c r="D2" t="s">
        <v>170</v>
      </c>
      <c r="F2" s="3" t="s">
        <v>171</v>
      </c>
      <c r="G2" s="4" t="s">
        <v>172</v>
      </c>
      <c r="H2" s="125" t="s">
        <v>173</v>
      </c>
      <c r="I2" s="142" t="s">
        <v>174</v>
      </c>
      <c r="J2" s="143" t="s">
        <v>173</v>
      </c>
      <c r="K2" s="144" t="s">
        <v>174</v>
      </c>
      <c r="L2" s="57" t="s">
        <v>64</v>
      </c>
      <c r="M2" s="145" t="s">
        <v>63</v>
      </c>
      <c r="N2" s="146" t="s">
        <v>23</v>
      </c>
      <c r="O2" s="58" t="s">
        <v>28</v>
      </c>
      <c r="P2" s="147" t="s">
        <v>65</v>
      </c>
      <c r="Q2" s="59" t="s">
        <v>175</v>
      </c>
      <c r="R2" s="185" t="s">
        <v>176</v>
      </c>
      <c r="S2" s="186" t="s">
        <v>177</v>
      </c>
      <c r="T2" s="187" t="s">
        <v>178</v>
      </c>
      <c r="U2" s="188" t="s">
        <v>179</v>
      </c>
      <c r="V2" s="189" t="s">
        <v>180</v>
      </c>
      <c r="W2" s="49" t="s">
        <v>181</v>
      </c>
    </row>
    <row r="3" ht="16.35" spans="1:24">
      <c r="A3">
        <f>数据表!H5</f>
        <v>25</v>
      </c>
      <c r="B3" t="s">
        <v>182</v>
      </c>
      <c r="C3">
        <f>数据表!I5</f>
        <v>26</v>
      </c>
      <c r="D3" t="s">
        <v>182</v>
      </c>
      <c r="F3" s="5" t="s">
        <v>183</v>
      </c>
      <c r="G3" s="126">
        <v>1</v>
      </c>
      <c r="H3" s="127">
        <f>COUNTIF(U4:U28,"&gt;"&amp;U3)+1</f>
        <v>18</v>
      </c>
      <c r="I3" s="135">
        <f>COUNTIF(V4:V28,"&gt;"&amp;V3)+1</f>
        <v>23</v>
      </c>
      <c r="J3" s="148">
        <f t="shared" ref="J3:J10" si="0">T3/R3*100</f>
        <v>94.6552875695733</v>
      </c>
      <c r="K3" s="149">
        <f t="shared" ref="K3:K28" si="1">T3/S3*100</f>
        <v>45.9356542617047</v>
      </c>
      <c r="L3" s="107">
        <v>0</v>
      </c>
      <c r="M3" s="117">
        <v>3</v>
      </c>
      <c r="N3" s="60">
        <v>2.8</v>
      </c>
      <c r="O3" s="150">
        <v>0.71</v>
      </c>
      <c r="P3" s="151">
        <v>40</v>
      </c>
      <c r="Q3" s="190">
        <v>0</v>
      </c>
      <c r="R3" s="111">
        <f>L3*K32+M3*L32+(G3+F32)*G32</f>
        <v>5775</v>
      </c>
      <c r="S3" s="191">
        <f>IF(G3&gt;M32,G3*G32-M32*G34,M32*G33)+L3*K32+M3*L32</f>
        <v>11900</v>
      </c>
      <c r="T3" s="192">
        <f>(N3*'倾向-优先级表'!J118+O3*'倾向-优先级表'!K118+Q3*'倾向-优先级表'!M118)*G3+P3*'倾向-优先级表'!L118*G3</f>
        <v>5466.34285714286</v>
      </c>
      <c r="U3" s="193">
        <f>(J3-X3)*R3</f>
        <v>-399945.964285714</v>
      </c>
      <c r="V3" s="194">
        <f>(K3-'倾向-优先级表'!D7)*S3</f>
        <v>-670973.714285714</v>
      </c>
      <c r="W3" s="106">
        <f>-X3*R3</f>
        <v>-946580.25</v>
      </c>
      <c r="X3">
        <f>'倾向-优先级表'!D6</f>
        <v>163.91</v>
      </c>
    </row>
    <row r="4" ht="16.35" spans="1:24">
      <c r="A4">
        <f>数据表!H6</f>
        <v>13</v>
      </c>
      <c r="B4" t="s">
        <v>184</v>
      </c>
      <c r="C4">
        <f>数据表!I6</f>
        <v>18</v>
      </c>
      <c r="D4" t="s">
        <v>184</v>
      </c>
      <c r="F4" s="7" t="s">
        <v>183</v>
      </c>
      <c r="G4" s="128">
        <v>2</v>
      </c>
      <c r="H4" s="129">
        <f>COUNTIF(U5:U28,"&gt;"&amp;U4)+1+COUNTIF(U3:U3,"&gt;="&amp;U4)</f>
        <v>22</v>
      </c>
      <c r="I4" s="152">
        <f>COUNTIF(V5:V28,"&gt;"&amp;V4)+1+COUNTIF(V3:V3,"&gt;="&amp;V4)</f>
        <v>25</v>
      </c>
      <c r="J4" s="153">
        <f t="shared" si="0"/>
        <v>71.281150527325</v>
      </c>
      <c r="K4" s="154">
        <f t="shared" si="1"/>
        <v>50.4156238698011</v>
      </c>
      <c r="L4" s="108">
        <v>0</v>
      </c>
      <c r="M4" s="118">
        <v>6</v>
      </c>
      <c r="N4" s="63">
        <v>1.96</v>
      </c>
      <c r="O4" s="155">
        <v>0.54</v>
      </c>
      <c r="P4" s="156">
        <v>30.16</v>
      </c>
      <c r="Q4" s="195">
        <v>0</v>
      </c>
      <c r="R4" s="108">
        <f>L4*K32+M4*L32+(G4+F32)*G32</f>
        <v>11175</v>
      </c>
      <c r="S4" s="196">
        <f>IF(G4&gt;M32,G4*G32-M32*G34,M32*G33)+L4*K32+M4*L32</f>
        <v>15800</v>
      </c>
      <c r="T4" s="197">
        <f>(N4*'倾向-优先级表'!J118+O4*'倾向-优先级表'!K118+Q4*'倾向-优先级表'!M118)*G4+P4*'倾向-优先级表'!L118*G4</f>
        <v>7965.66857142857</v>
      </c>
      <c r="U4" s="193">
        <f t="shared" ref="U4:U28" si="2">(J4-X4)*R4</f>
        <v>-1035127.39285714</v>
      </c>
      <c r="V4" s="198">
        <f>(K4-'倾向-优先级表'!D7)*S4</f>
        <v>-820089.142857143</v>
      </c>
      <c r="W4" s="106">
        <f t="shared" ref="W4:W28" si="3">-X4*R4</f>
        <v>-1831694.25</v>
      </c>
      <c r="X4">
        <f>'倾向-优先级表'!D6</f>
        <v>163.91</v>
      </c>
    </row>
    <row r="5" ht="16.35" spans="1:24">
      <c r="A5">
        <f>数据表!H7</f>
        <v>5</v>
      </c>
      <c r="B5" t="s">
        <v>185</v>
      </c>
      <c r="C5">
        <f>数据表!I7</f>
        <v>19</v>
      </c>
      <c r="D5" t="s">
        <v>185</v>
      </c>
      <c r="F5" s="9" t="s">
        <v>183</v>
      </c>
      <c r="G5" s="130">
        <v>4</v>
      </c>
      <c r="H5" s="129">
        <f>COUNTIF(U6:U28,"&gt;"&amp;U5)+1+COUNTIF(U3:U4,"&gt;="&amp;U5)</f>
        <v>25</v>
      </c>
      <c r="I5" s="152">
        <f>COUNTIF(V6:V28,"&gt;"&amp;V5)+1+COUNTIF(V3:V4,"&gt;="&amp;V5)</f>
        <v>26</v>
      </c>
      <c r="J5" s="153">
        <f t="shared" si="0"/>
        <v>53.6941714285714</v>
      </c>
      <c r="K5" s="154">
        <f t="shared" si="1"/>
        <v>49.5392653061224</v>
      </c>
      <c r="L5" s="108">
        <v>0</v>
      </c>
      <c r="M5" s="118">
        <v>10</v>
      </c>
      <c r="N5" s="66">
        <v>1.395</v>
      </c>
      <c r="O5" s="157">
        <v>0.31</v>
      </c>
      <c r="P5" s="156">
        <v>20.77</v>
      </c>
      <c r="Q5" s="195">
        <v>0</v>
      </c>
      <c r="R5" s="108">
        <f>L5*K32+M5*L32+(G5+F32)*G32</f>
        <v>19375</v>
      </c>
      <c r="S5" s="196">
        <f>IF(G5&gt;M32,G5*G32-M32*G34,M32*G33)+L5*K32+M5*L32</f>
        <v>21000</v>
      </c>
      <c r="T5" s="197">
        <f>(N5*'倾向-优先级表'!J118+O5*'倾向-优先级表'!K118+Q5*'倾向-优先级表'!M118)*G5+P5*'倾向-优先级表'!L118*G5</f>
        <v>10403.2457142857</v>
      </c>
      <c r="U5" s="193">
        <f t="shared" si="2"/>
        <v>-2135431.67857143</v>
      </c>
      <c r="V5" s="198">
        <f>(K5-'倾向-优先级表'!D7)*S5</f>
        <v>-1108395.42857143</v>
      </c>
      <c r="W5" s="106">
        <f t="shared" si="3"/>
        <v>-3175756.25</v>
      </c>
      <c r="X5">
        <f>'倾向-优先级表'!D6</f>
        <v>163.91</v>
      </c>
    </row>
    <row r="6" ht="16.35" spans="1:24">
      <c r="A6">
        <f>数据表!H8</f>
        <v>7</v>
      </c>
      <c r="B6" t="s">
        <v>186</v>
      </c>
      <c r="C6">
        <f>数据表!I8</f>
        <v>13</v>
      </c>
      <c r="D6" t="s">
        <v>186</v>
      </c>
      <c r="F6" s="11" t="s">
        <v>187</v>
      </c>
      <c r="G6" s="131">
        <v>0.5</v>
      </c>
      <c r="H6" s="132">
        <f>COUNTIF(U7:U28,"&gt;"&amp;U6)+1+COUNTIF(U3:U5,"&gt;="&amp;U6)</f>
        <v>13</v>
      </c>
      <c r="I6" s="158">
        <f>COUNTIF(V7:V28,"&gt;"&amp;V6)+1+COUNTIF(V3:V5,"&gt;="&amp;V6)</f>
        <v>18</v>
      </c>
      <c r="J6" s="159">
        <f t="shared" si="0"/>
        <v>119.365208430913</v>
      </c>
      <c r="K6" s="160">
        <f t="shared" si="1"/>
        <v>62.7696354679803</v>
      </c>
      <c r="L6" s="113">
        <v>8000</v>
      </c>
      <c r="M6" s="121">
        <v>5</v>
      </c>
      <c r="N6" s="60">
        <v>9.78</v>
      </c>
      <c r="O6" s="150">
        <v>1.97</v>
      </c>
      <c r="P6" s="151">
        <v>194.49</v>
      </c>
      <c r="Q6" s="199">
        <v>0</v>
      </c>
      <c r="R6" s="113">
        <f>L6*K32+M6*L32+(G6+F32)*G32</f>
        <v>7625</v>
      </c>
      <c r="S6" s="200">
        <f>IF(G6&gt;M32,G6*G32-M32*G34,M32*G33)+L6*K32+M6*L32</f>
        <v>14500</v>
      </c>
      <c r="T6" s="201">
        <f>(N6*'倾向-优先级表'!J118+O6*'倾向-优先级表'!K118+Q6*'倾向-优先级表'!M118)*G6+P6*'倾向-优先级表'!L118*G6</f>
        <v>9101.59714285714</v>
      </c>
      <c r="U6" s="193">
        <f t="shared" si="2"/>
        <v>-339654.035714288</v>
      </c>
      <c r="V6" s="202">
        <f>(K6-'倾向-优先级表'!D7)*S6</f>
        <v>-573480.285714286</v>
      </c>
      <c r="W6" s="106">
        <f t="shared" si="3"/>
        <v>-1249813.75</v>
      </c>
      <c r="X6">
        <f>'倾向-优先级表'!D6</f>
        <v>163.91</v>
      </c>
    </row>
    <row r="7" ht="16.35" spans="1:24">
      <c r="A7">
        <f>数据表!H9</f>
        <v>6</v>
      </c>
      <c r="B7" t="s">
        <v>188</v>
      </c>
      <c r="C7">
        <f>数据表!I9</f>
        <v>6</v>
      </c>
      <c r="D7" t="s">
        <v>188</v>
      </c>
      <c r="F7" s="13" t="s">
        <v>189</v>
      </c>
      <c r="G7" s="14">
        <v>1</v>
      </c>
      <c r="H7" s="133">
        <f>COUNTIF(U8:U28,"&gt;"&amp;U7)+1+COUNTIF(U3:U6,"&gt;="&amp;U7)</f>
        <v>5</v>
      </c>
      <c r="I7" s="136">
        <f>COUNTIF(V8:V28,"&gt;"&amp;V7)+1+COUNTIF(V3:V6,"&gt;="&amp;V7)</f>
        <v>19</v>
      </c>
      <c r="J7" s="161">
        <f t="shared" si="0"/>
        <v>126.226285714286</v>
      </c>
      <c r="K7" s="149">
        <f t="shared" si="1"/>
        <v>29.5842857142857</v>
      </c>
      <c r="L7" s="111">
        <v>0</v>
      </c>
      <c r="M7" s="120">
        <v>0</v>
      </c>
      <c r="N7" s="69">
        <v>0</v>
      </c>
      <c r="O7" s="162">
        <v>0</v>
      </c>
      <c r="P7" s="163">
        <v>0</v>
      </c>
      <c r="Q7" s="203">
        <v>0.052</v>
      </c>
      <c r="R7" s="111">
        <f>L7*K32+M7*L32+(G7+F32)*G32</f>
        <v>1875</v>
      </c>
      <c r="S7" s="191">
        <f>IF(G7&gt;M32,G7*G32-M32*G34,M32*G33)+L7*K32+M7*L32</f>
        <v>8000</v>
      </c>
      <c r="T7" s="192">
        <f>(N7*'倾向-优先级表'!J118+O7*'倾向-优先级表'!K118+Q7*'倾向-优先级表'!M118)*G7</f>
        <v>2366.74285714286</v>
      </c>
      <c r="U7" s="193">
        <f t="shared" si="2"/>
        <v>-70656.9642857137</v>
      </c>
      <c r="V7" s="204">
        <f>(K7-'倾向-优先级表'!D7)*S7</f>
        <v>-581885.714285714</v>
      </c>
      <c r="W7" s="106">
        <f t="shared" si="3"/>
        <v>-307331.25</v>
      </c>
      <c r="X7">
        <f>'倾向-优先级表'!D6</f>
        <v>163.91</v>
      </c>
    </row>
    <row r="8" ht="16.35" spans="1:24">
      <c r="A8">
        <f>数据表!H10</f>
        <v>1</v>
      </c>
      <c r="B8" t="s">
        <v>190</v>
      </c>
      <c r="C8">
        <f>数据表!I10</f>
        <v>1</v>
      </c>
      <c r="D8" t="s">
        <v>190</v>
      </c>
      <c r="F8" s="15" t="s">
        <v>189</v>
      </c>
      <c r="G8" s="16">
        <v>2</v>
      </c>
      <c r="H8" s="133">
        <f>COUNTIF(U9:U28,"&gt;"&amp;U8)+1+COUNTIF(U3:U7,"&gt;="&amp;U8)</f>
        <v>7</v>
      </c>
      <c r="I8" s="136">
        <f>COUNTIF(V9:V28,"&gt;"&amp;V8)+1+COUNTIF(V3:V7,"&gt;="&amp;V8)</f>
        <v>13</v>
      </c>
      <c r="J8" s="153">
        <f t="shared" si="0"/>
        <v>126.765714285714</v>
      </c>
      <c r="K8" s="154">
        <f t="shared" si="1"/>
        <v>53.4792857142857</v>
      </c>
      <c r="L8" s="108">
        <v>0</v>
      </c>
      <c r="M8" s="118">
        <v>0</v>
      </c>
      <c r="N8" s="66">
        <v>0</v>
      </c>
      <c r="O8" s="157">
        <v>0</v>
      </c>
      <c r="P8" s="164">
        <v>0</v>
      </c>
      <c r="Q8" s="195">
        <v>0.047</v>
      </c>
      <c r="R8" s="108">
        <f>L8*K32+M8*L32+(G8+F32)*G32</f>
        <v>3375</v>
      </c>
      <c r="S8" s="196">
        <f>IF(G8&gt;M32,G8*G32-M32*G34,M32*G33)+L8*K32+M8*L32</f>
        <v>8000</v>
      </c>
      <c r="T8" s="197">
        <f>(N8*'倾向-优先级表'!J118+O8*'倾向-优先级表'!K118+Q8*'倾向-优先级表'!M118)*G8</f>
        <v>4278.34285714286</v>
      </c>
      <c r="U8" s="193">
        <f t="shared" si="2"/>
        <v>-125361.964285715</v>
      </c>
      <c r="V8" s="198">
        <f>(K8-'倾向-优先级表'!D7)*S8</f>
        <v>-390725.714285714</v>
      </c>
      <c r="W8" s="106">
        <f t="shared" si="3"/>
        <v>-553196.25</v>
      </c>
      <c r="X8">
        <f>'倾向-优先级表'!D6</f>
        <v>163.91</v>
      </c>
    </row>
    <row r="9" ht="16.35" spans="1:24">
      <c r="A9">
        <f>数据表!H11</f>
        <v>10</v>
      </c>
      <c r="B9" t="s">
        <v>191</v>
      </c>
      <c r="C9">
        <f>数据表!I11</f>
        <v>14</v>
      </c>
      <c r="D9" t="s">
        <v>191</v>
      </c>
      <c r="F9" s="7" t="s">
        <v>189</v>
      </c>
      <c r="G9" s="8">
        <v>4</v>
      </c>
      <c r="H9" s="133">
        <f>COUNTIF(U10:U28,"&gt;"&amp;U9)+1+COUNTIF(U3:U8,"&gt;="&amp;U9)</f>
        <v>6</v>
      </c>
      <c r="I9" s="136">
        <f>COUNTIF(V10:V28,"&gt;"&amp;V9)+1+COUNTIF(V3:V8,"&gt;="&amp;V9)</f>
        <v>6</v>
      </c>
      <c r="J9" s="153">
        <f t="shared" si="0"/>
        <v>145.645714285714</v>
      </c>
      <c r="K9" s="154">
        <f t="shared" si="1"/>
        <v>116.061428571429</v>
      </c>
      <c r="L9" s="108">
        <v>0</v>
      </c>
      <c r="M9" s="118">
        <v>0</v>
      </c>
      <c r="N9" s="60">
        <v>0</v>
      </c>
      <c r="O9" s="150">
        <v>0</v>
      </c>
      <c r="P9" s="165">
        <v>0</v>
      </c>
      <c r="Q9" s="195">
        <v>0.051</v>
      </c>
      <c r="R9" s="108">
        <f>L9*K32+M9*L32+(G9+F32)*G32</f>
        <v>6375</v>
      </c>
      <c r="S9" s="196">
        <f>IF(G9&gt;M32,G9*G32-M32*G34,M32*G33)+L9*K32+M9*L32</f>
        <v>8000</v>
      </c>
      <c r="T9" s="197">
        <f>(N9*'倾向-优先级表'!J118+O9*'倾向-优先级表'!K118+Q9*'倾向-优先级表'!M118)*G9</f>
        <v>9284.91428571429</v>
      </c>
      <c r="U9" s="193">
        <f t="shared" si="2"/>
        <v>-116434.821428573</v>
      </c>
      <c r="V9" s="198">
        <f>(K9-'倾向-优先级表'!D7)*S9</f>
        <v>109931.428571429</v>
      </c>
      <c r="W9" s="106">
        <f t="shared" si="3"/>
        <v>-1044926.25</v>
      </c>
      <c r="X9">
        <f>'倾向-优先级表'!D6</f>
        <v>163.91</v>
      </c>
    </row>
    <row r="10" ht="16.35" spans="1:24">
      <c r="A10">
        <f>数据表!H12</f>
        <v>20</v>
      </c>
      <c r="B10" t="s">
        <v>192</v>
      </c>
      <c r="C10">
        <f>数据表!I12</f>
        <v>11</v>
      </c>
      <c r="D10" t="s">
        <v>192</v>
      </c>
      <c r="F10" s="17" t="s">
        <v>189</v>
      </c>
      <c r="G10" s="18">
        <v>0.5</v>
      </c>
      <c r="H10" s="134">
        <f>COUNTIF(U11:U28,"&gt;"&amp;U10)+1+COUNTIF(U3:U9,"&gt;="&amp;U10)</f>
        <v>1</v>
      </c>
      <c r="I10" s="137">
        <f>COUNTIF(V11:V28,"&gt;"&amp;V10)+1+COUNTIF(V3:V9,"&gt;="&amp;V10)</f>
        <v>1</v>
      </c>
      <c r="J10" s="166">
        <f t="shared" si="0"/>
        <v>1650.65142857143</v>
      </c>
      <c r="K10" s="160">
        <f t="shared" si="1"/>
        <v>232.122857142857</v>
      </c>
      <c r="L10" s="113">
        <v>5000</v>
      </c>
      <c r="M10" s="121">
        <v>0</v>
      </c>
      <c r="N10" s="73">
        <v>0</v>
      </c>
      <c r="O10" s="167">
        <v>0</v>
      </c>
      <c r="P10" s="168">
        <v>0</v>
      </c>
      <c r="Q10" s="199">
        <v>0.816</v>
      </c>
      <c r="R10" s="113">
        <f>L10*K32+M10*L32+(G10+F32)*G32</f>
        <v>1125</v>
      </c>
      <c r="S10" s="200">
        <f>IF(G10&gt;M32,G10*G32-M32*G34,M32*G33)+L10*K32+M10*L32</f>
        <v>8000</v>
      </c>
      <c r="T10" s="201">
        <f>(N10*'倾向-优先级表'!J118+O10*'倾向-优先级表'!K118+Q10*'倾向-优先级表'!M118)*G10</f>
        <v>18569.8285714286</v>
      </c>
      <c r="U10" s="193">
        <f t="shared" si="2"/>
        <v>1672584.10714286</v>
      </c>
      <c r="V10" s="205">
        <f>(K10-'倾向-优先级表'!D7)*S10</f>
        <v>1038422.85714286</v>
      </c>
      <c r="W10" s="106">
        <f t="shared" si="3"/>
        <v>-184398.75</v>
      </c>
      <c r="X10">
        <f>'倾向-优先级表'!D6</f>
        <v>163.91</v>
      </c>
    </row>
    <row r="11" ht="16.35" spans="1:24">
      <c r="A11">
        <f>数据表!H13</f>
        <v>21</v>
      </c>
      <c r="B11" t="s">
        <v>193</v>
      </c>
      <c r="C11">
        <f>数据表!I13</f>
        <v>4</v>
      </c>
      <c r="D11" t="s">
        <v>193</v>
      </c>
      <c r="F11" s="19" t="s">
        <v>194</v>
      </c>
      <c r="G11" s="6">
        <v>2.5</v>
      </c>
      <c r="H11" s="135">
        <f>COUNTIF(U12:U28,"&gt;"&amp;U11)+1+COUNTIF(U3:U10,"&gt;="&amp;U11)</f>
        <v>10</v>
      </c>
      <c r="I11" s="135">
        <f>COUNTIF(V12:V28,"&gt;"&amp;V11)+1+COUNTIF(V3:V10,"&gt;="&amp;V11)</f>
        <v>14</v>
      </c>
      <c r="J11" s="148">
        <f t="shared" ref="J11:J28" si="4">T11/R11*100</f>
        <v>95.012987012987</v>
      </c>
      <c r="K11" s="149">
        <f t="shared" si="1"/>
        <v>48.9910714285714</v>
      </c>
      <c r="L11" s="111">
        <v>3000</v>
      </c>
      <c r="M11" s="120">
        <v>0</v>
      </c>
      <c r="N11" s="76">
        <v>0.92</v>
      </c>
      <c r="O11" s="169">
        <v>0</v>
      </c>
      <c r="P11" s="170">
        <v>0</v>
      </c>
      <c r="Q11" s="190">
        <v>0.014</v>
      </c>
      <c r="R11" s="111">
        <f>L11*K32+M11*L32+(G11+F32)*G32</f>
        <v>4125</v>
      </c>
      <c r="S11" s="191">
        <f>IF(G11&gt;M32,G11*G32-M32*G34,M32*G33)+L11*K32+M10*L32</f>
        <v>8000</v>
      </c>
      <c r="T11" s="192">
        <f>(N11*'倾向-优先级表'!J118+O11*'倾向-优先级表'!K118+Q11*'倾向-优先级表'!M118)*G11</f>
        <v>3919.28571428571</v>
      </c>
      <c r="U11" s="193">
        <f t="shared" si="2"/>
        <v>-284200.178571429</v>
      </c>
      <c r="V11" s="194">
        <f>(K11-'倾向-优先级表'!D7)*S11</f>
        <v>-426631.428571429</v>
      </c>
      <c r="W11" s="106">
        <f t="shared" si="3"/>
        <v>-676128.75</v>
      </c>
      <c r="X11">
        <f>'倾向-优先级表'!D6</f>
        <v>163.91</v>
      </c>
    </row>
    <row r="12" ht="16.35" spans="1:24">
      <c r="A12">
        <f>数据表!H14</f>
        <v>3</v>
      </c>
      <c r="B12" t="s">
        <v>195</v>
      </c>
      <c r="C12">
        <f>数据表!I14</f>
        <v>8</v>
      </c>
      <c r="D12" t="s">
        <v>195</v>
      </c>
      <c r="F12" s="7" t="s">
        <v>194</v>
      </c>
      <c r="G12" s="8">
        <v>5</v>
      </c>
      <c r="H12" s="136">
        <f>COUNTIF(U13:U28,"&gt;"&amp;U12)+1+COUNTIF(U3:U11,"&gt;="&amp;U12)</f>
        <v>20</v>
      </c>
      <c r="I12" s="136">
        <f>COUNTIF(V13:V28,"&gt;"&amp;V12)+1+COUNTIF(V3:V11,"&gt;="&amp;V12)</f>
        <v>11</v>
      </c>
      <c r="J12" s="153">
        <f t="shared" si="4"/>
        <v>77.0612244897959</v>
      </c>
      <c r="K12" s="154">
        <f t="shared" si="1"/>
        <v>75.8571428571429</v>
      </c>
      <c r="L12" s="108">
        <v>5000</v>
      </c>
      <c r="M12" s="118">
        <v>0</v>
      </c>
      <c r="N12" s="60">
        <v>0.75</v>
      </c>
      <c r="O12" s="150">
        <v>0</v>
      </c>
      <c r="P12" s="165">
        <v>0</v>
      </c>
      <c r="Q12" s="195">
        <v>0.01</v>
      </c>
      <c r="R12" s="108">
        <f>L12*K32+M12*L32+(G12+F32)*G32</f>
        <v>7875</v>
      </c>
      <c r="S12" s="196">
        <f>IF(G12&gt;M32,G12*G32-M32*G34,M32*G33)+L12*K32+M12*L32</f>
        <v>8000</v>
      </c>
      <c r="T12" s="197">
        <f>(N12*'倾向-优先级表'!J118+O12*'倾向-优先级表'!K118+Q12*'倾向-优先级表'!M118)*G12</f>
        <v>6068.57142857143</v>
      </c>
      <c r="U12" s="193">
        <f t="shared" si="2"/>
        <v>-683934.107142857</v>
      </c>
      <c r="V12" s="198">
        <f>(K12-'倾向-优先级表'!D7)*S12</f>
        <v>-211702.857142857</v>
      </c>
      <c r="W12" s="106">
        <f t="shared" si="3"/>
        <v>-1290791.25</v>
      </c>
      <c r="X12">
        <f>'倾向-优先级表'!D6</f>
        <v>163.91</v>
      </c>
    </row>
    <row r="13" ht="16.35" spans="1:24">
      <c r="A13">
        <f>数据表!H15</f>
        <v>4</v>
      </c>
      <c r="B13" t="s">
        <v>196</v>
      </c>
      <c r="C13">
        <f>数据表!I15</f>
        <v>10</v>
      </c>
      <c r="D13" t="s">
        <v>196</v>
      </c>
      <c r="F13" s="9" t="s">
        <v>194</v>
      </c>
      <c r="G13" s="10">
        <v>8</v>
      </c>
      <c r="H13" s="136">
        <f>COUNTIF(U14:U28,"&gt;"&amp;U13)+1+COUNTIF(U3:U12,"&gt;="&amp;U13)</f>
        <v>21</v>
      </c>
      <c r="I13" s="136">
        <f>COUNTIF(V14:V28,"&gt;"&amp;V13)+1+COUNTIF(V3:V12,"&gt;="&amp;V13)</f>
        <v>4</v>
      </c>
      <c r="J13" s="153">
        <f t="shared" si="4"/>
        <v>81.4046753246753</v>
      </c>
      <c r="K13" s="160">
        <f t="shared" si="1"/>
        <v>125.922857142857</v>
      </c>
      <c r="L13" s="108">
        <v>8000</v>
      </c>
      <c r="M13" s="118">
        <v>0</v>
      </c>
      <c r="N13" s="63">
        <v>0.75</v>
      </c>
      <c r="O13" s="155">
        <v>0</v>
      </c>
      <c r="P13" s="171">
        <v>0</v>
      </c>
      <c r="Q13" s="206">
        <v>0.011</v>
      </c>
      <c r="R13" s="108">
        <f>L13*K32+M13*L32+(G13+F32)*G32</f>
        <v>12375</v>
      </c>
      <c r="S13" s="196">
        <f>IF(G13&gt;M32,G13*G32-M32*G34,M32*G33)+L13*K32+M13*L32</f>
        <v>8000</v>
      </c>
      <c r="T13" s="197">
        <f>(N13*'倾向-优先级表'!J118+O13*'倾向-优先级表'!K118+Q13*'倾向-优先级表'!M118)*G13</f>
        <v>10073.8285714286</v>
      </c>
      <c r="U13" s="193">
        <f t="shared" si="2"/>
        <v>-1021003.39285714</v>
      </c>
      <c r="V13" s="198">
        <f>(K13-'倾向-优先级表'!D7)*S13</f>
        <v>188822.857142857</v>
      </c>
      <c r="W13" s="106">
        <f t="shared" si="3"/>
        <v>-2028386.25</v>
      </c>
      <c r="X13">
        <f>'倾向-优先级表'!D6</f>
        <v>163.91</v>
      </c>
    </row>
    <row r="14" ht="16.35" spans="1:24">
      <c r="A14">
        <f>数据表!H16</f>
        <v>11</v>
      </c>
      <c r="B14" t="s">
        <v>197</v>
      </c>
      <c r="C14">
        <f>数据表!I16</f>
        <v>5</v>
      </c>
      <c r="D14" t="s">
        <v>197</v>
      </c>
      <c r="F14" s="9" t="s">
        <v>194</v>
      </c>
      <c r="G14" s="10">
        <v>0.5</v>
      </c>
      <c r="H14" s="136">
        <f>COUNTIF(U15:U28,"&gt;"&amp;U14)+1+COUNTIF(U3:U13,"&gt;="&amp;U14)</f>
        <v>3</v>
      </c>
      <c r="I14" s="136">
        <f>COUNTIF(V15:V28,"&gt;"&amp;V14)+1+COUNTIF(V3:V13,"&gt;="&amp;V14)</f>
        <v>8</v>
      </c>
      <c r="J14" s="153">
        <f t="shared" si="4"/>
        <v>191.408711943794</v>
      </c>
      <c r="K14" s="154">
        <f t="shared" si="1"/>
        <v>100.654581280788</v>
      </c>
      <c r="L14" s="108">
        <v>5000</v>
      </c>
      <c r="M14" s="118">
        <v>5</v>
      </c>
      <c r="N14" s="66">
        <v>17.61</v>
      </c>
      <c r="O14" s="157">
        <v>0</v>
      </c>
      <c r="P14" s="164">
        <v>0</v>
      </c>
      <c r="Q14" s="195">
        <v>0.25</v>
      </c>
      <c r="R14" s="108">
        <f>L14*K32+M14*L32+(G14+F32)*G32</f>
        <v>7625</v>
      </c>
      <c r="S14" s="196">
        <f>IF(G14&gt;M32,G14*G32-M32*G34,M32*G33)+L14*K32+M14*L32</f>
        <v>14500</v>
      </c>
      <c r="T14" s="197">
        <f>(N14*'倾向-优先级表'!J118+O14*'倾向-优先级表'!K118+Q14*'倾向-优先级表'!M118)*G14</f>
        <v>14594.9142857143</v>
      </c>
      <c r="U14" s="193">
        <f t="shared" si="2"/>
        <v>209677.678571429</v>
      </c>
      <c r="V14" s="198">
        <f>(K14-'倾向-优先级表'!D7)*S14</f>
        <v>-24148.5714285715</v>
      </c>
      <c r="W14" s="106">
        <f t="shared" si="3"/>
        <v>-1249813.75</v>
      </c>
      <c r="X14">
        <f>'倾向-优先级表'!D6</f>
        <v>163.91</v>
      </c>
    </row>
    <row r="15" ht="16.35" spans="1:24">
      <c r="A15">
        <f>数据表!H17</f>
        <v>17</v>
      </c>
      <c r="B15" t="s">
        <v>198</v>
      </c>
      <c r="C15">
        <f>数据表!I17</f>
        <v>3</v>
      </c>
      <c r="D15" t="s">
        <v>198</v>
      </c>
      <c r="F15" s="15" t="s">
        <v>199</v>
      </c>
      <c r="G15" s="16">
        <v>2.5</v>
      </c>
      <c r="H15" s="136">
        <f>COUNTIF(U16:U28,"&gt;"&amp;U15)+1+COUNTIF(U3:U14,"&gt;="&amp;U15)</f>
        <v>4</v>
      </c>
      <c r="I15" s="136">
        <f>COUNTIF(V16:V28,"&gt;"&amp;V15)+1+COUNTIF(V3:V14,"&gt;="&amp;V15)</f>
        <v>10</v>
      </c>
      <c r="J15" s="153">
        <f t="shared" si="4"/>
        <v>150.794805194805</v>
      </c>
      <c r="K15" s="160">
        <f t="shared" si="1"/>
        <v>77.7535714285714</v>
      </c>
      <c r="L15" s="108">
        <v>3000</v>
      </c>
      <c r="M15" s="118">
        <v>0</v>
      </c>
      <c r="N15" s="76">
        <v>0</v>
      </c>
      <c r="O15" s="169">
        <v>0.61</v>
      </c>
      <c r="P15" s="170">
        <v>0</v>
      </c>
      <c r="Q15" s="195">
        <v>0.014</v>
      </c>
      <c r="R15" s="108">
        <f>L15*K32+M15*L32+(G15+F32)*G32</f>
        <v>4125</v>
      </c>
      <c r="S15" s="196">
        <f>IF(G15&gt;M32,G15*G32-M32*G34,M32*G33)+L15*K32+M15*L32</f>
        <v>8000</v>
      </c>
      <c r="T15" s="197">
        <f>(N15*'倾向-优先级表'!J118+O15*'倾向-优先级表'!K118+Q15*'倾向-优先级表'!M118)*G15</f>
        <v>6220.28571428571</v>
      </c>
      <c r="U15" s="193">
        <f t="shared" si="2"/>
        <v>-54100.1785714293</v>
      </c>
      <c r="V15" s="198">
        <f>(K15-'倾向-优先级表'!D7)*S15</f>
        <v>-196531.428571429</v>
      </c>
      <c r="W15" s="106">
        <f t="shared" si="3"/>
        <v>-676128.75</v>
      </c>
      <c r="X15">
        <f>'倾向-优先级表'!D6</f>
        <v>163.91</v>
      </c>
    </row>
    <row r="16" ht="16.35" spans="1:24">
      <c r="A16">
        <f>数据表!H18</f>
        <v>2</v>
      </c>
      <c r="B16" t="s">
        <v>200</v>
      </c>
      <c r="C16">
        <f>数据表!I18</f>
        <v>2</v>
      </c>
      <c r="D16" t="s">
        <v>200</v>
      </c>
      <c r="F16" s="7" t="s">
        <v>199</v>
      </c>
      <c r="G16" s="8">
        <v>5</v>
      </c>
      <c r="H16" s="136">
        <f>COUNTIF(U17:U28,"&gt;"&amp;U16)+1+COUNTIF(U3:U15,"&gt;="&amp;U16)</f>
        <v>11</v>
      </c>
      <c r="I16" s="136">
        <f>COUNTIF(V17:V28,"&gt;"&amp;V16)+1+COUNTIF(V3:V15,"&gt;="&amp;V16)</f>
        <v>5</v>
      </c>
      <c r="J16" s="153">
        <f t="shared" si="4"/>
        <v>127.151020408163</v>
      </c>
      <c r="K16" s="154">
        <f t="shared" si="1"/>
        <v>125.164285714286</v>
      </c>
      <c r="L16" s="108">
        <v>5000</v>
      </c>
      <c r="M16" s="118">
        <v>0</v>
      </c>
      <c r="N16" s="60">
        <v>0</v>
      </c>
      <c r="O16" s="150">
        <v>0.51</v>
      </c>
      <c r="P16" s="165">
        <v>0</v>
      </c>
      <c r="Q16" s="195">
        <v>0.01</v>
      </c>
      <c r="R16" s="108">
        <f>L16*K32+M16*L32+(G16+F32)*G32</f>
        <v>7875</v>
      </c>
      <c r="S16" s="196">
        <f>IF(G16&gt;M32,G16*G32-M32*G34,M32*G33)+L16*K32+M16*L32</f>
        <v>8000</v>
      </c>
      <c r="T16" s="197">
        <f>(N16*'倾向-优先级表'!J118+O16*'倾向-优先级表'!K118+Q16*'倾向-优先级表'!M118)*G16</f>
        <v>10013.1428571429</v>
      </c>
      <c r="U16" s="193">
        <f t="shared" si="2"/>
        <v>-289476.964285716</v>
      </c>
      <c r="V16" s="198">
        <f>(K16-'倾向-优先级表'!D7)*S16</f>
        <v>182754.285714286</v>
      </c>
      <c r="W16" s="106">
        <f t="shared" si="3"/>
        <v>-1290791.25</v>
      </c>
      <c r="X16">
        <f>'倾向-优先级表'!D6</f>
        <v>163.91</v>
      </c>
    </row>
    <row r="17" ht="16.35" spans="1:24">
      <c r="A17">
        <f>数据表!H19</f>
        <v>8</v>
      </c>
      <c r="B17" t="s">
        <v>201</v>
      </c>
      <c r="C17">
        <f>数据表!I19</f>
        <v>17</v>
      </c>
      <c r="D17" t="s">
        <v>201</v>
      </c>
      <c r="F17" s="9" t="s">
        <v>199</v>
      </c>
      <c r="G17" s="10">
        <v>8</v>
      </c>
      <c r="H17" s="136">
        <f>COUNTIF(U18:U28,"&gt;"&amp;U17)+1+COUNTIF(U3:U16,"&gt;="&amp;U17)</f>
        <v>17</v>
      </c>
      <c r="I17" s="136">
        <f>COUNTIF(V18:V28,"&gt;"&amp;V17)+1+COUNTIF(V3:V16,"&gt;="&amp;V17)</f>
        <v>3</v>
      </c>
      <c r="J17" s="153">
        <f t="shared" si="4"/>
        <v>132.405194805195</v>
      </c>
      <c r="K17" s="154">
        <f t="shared" si="1"/>
        <v>204.814285714286</v>
      </c>
      <c r="L17" s="108">
        <v>8000</v>
      </c>
      <c r="M17" s="118">
        <v>0</v>
      </c>
      <c r="N17" s="66">
        <v>0</v>
      </c>
      <c r="O17" s="157">
        <v>0.51</v>
      </c>
      <c r="P17" s="164">
        <v>0</v>
      </c>
      <c r="Q17" s="195">
        <v>0.011</v>
      </c>
      <c r="R17" s="108">
        <f>L17*K32+M17*L32+(G17+F32)*G32</f>
        <v>12375</v>
      </c>
      <c r="S17" s="196">
        <f>IF(G17&gt;M32,G17*G32-M32*G34,M32*G33)+L17*K32+M17*L32</f>
        <v>8000</v>
      </c>
      <c r="T17" s="197">
        <f>(N17*'倾向-优先级表'!J118+O17*'倾向-优先级表'!K118+Q17*'倾向-优先级表'!M118)*G17</f>
        <v>16385.1428571429</v>
      </c>
      <c r="U17" s="193">
        <f t="shared" si="2"/>
        <v>-389871.964285712</v>
      </c>
      <c r="V17" s="198">
        <f>(K17-'倾向-优先级表'!D7)*S17</f>
        <v>819954.285714286</v>
      </c>
      <c r="W17" s="106">
        <f t="shared" si="3"/>
        <v>-2028386.25</v>
      </c>
      <c r="X17">
        <f>'倾向-优先级表'!D6</f>
        <v>163.91</v>
      </c>
    </row>
    <row r="18" ht="16.35" spans="1:24">
      <c r="A18">
        <f>数据表!H20</f>
        <v>12</v>
      </c>
      <c r="B18" s="30" t="s">
        <v>202</v>
      </c>
      <c r="C18">
        <f>数据表!I20</f>
        <v>15</v>
      </c>
      <c r="D18" s="30" t="s">
        <v>202</v>
      </c>
      <c r="F18" s="20" t="s">
        <v>199</v>
      </c>
      <c r="G18" s="21">
        <v>0.5</v>
      </c>
      <c r="H18" s="137">
        <f>COUNTIF(U19:U28,"&gt;"&amp;U18)+1+COUNTIF(U3:U17,"&gt;="&amp;U18)</f>
        <v>2</v>
      </c>
      <c r="I18" s="137">
        <f>COUNTIF(V19:V28,"&gt;"&amp;V18)+1+COUNTIF(V3:V17,"&gt;="&amp;V18)</f>
        <v>2</v>
      </c>
      <c r="J18" s="159">
        <f t="shared" si="4"/>
        <v>308.80074941452</v>
      </c>
      <c r="K18" s="160">
        <f t="shared" si="1"/>
        <v>162.386600985222</v>
      </c>
      <c r="L18" s="113">
        <v>5000</v>
      </c>
      <c r="M18" s="121">
        <v>5</v>
      </c>
      <c r="N18" s="60">
        <v>0</v>
      </c>
      <c r="O18" s="150">
        <v>11.77</v>
      </c>
      <c r="P18" s="165">
        <v>0</v>
      </c>
      <c r="Q18" s="199">
        <v>0.25</v>
      </c>
      <c r="R18" s="113">
        <f>L18*K32+M18*L32+(G18+F32)*G32</f>
        <v>7625</v>
      </c>
      <c r="S18" s="200">
        <f>IF(G18&gt;M32,G18*G32-M32*G34,M32*G33)+L18*K32+M18*L32</f>
        <v>14500</v>
      </c>
      <c r="T18" s="201">
        <f>(N18*'倾向-优先级表'!J118+O18*'倾向-优先级表'!K118+Q18*'倾向-优先级表'!M118)*G18</f>
        <v>23546.0571428571</v>
      </c>
      <c r="U18" s="193">
        <f t="shared" si="2"/>
        <v>1104791.96428572</v>
      </c>
      <c r="V18" s="202">
        <f>(K18-'倾向-优先级表'!D7)*S18</f>
        <v>870965.714285714</v>
      </c>
      <c r="W18" s="106">
        <f t="shared" si="3"/>
        <v>-1249813.75</v>
      </c>
      <c r="X18">
        <f>'倾向-优先级表'!D6</f>
        <v>163.91</v>
      </c>
    </row>
    <row r="19" ht="16.35" spans="1:24">
      <c r="A19">
        <f>数据表!H21</f>
        <v>9</v>
      </c>
      <c r="B19" t="s">
        <v>203</v>
      </c>
      <c r="C19">
        <f>数据表!I21</f>
        <v>7</v>
      </c>
      <c r="D19" t="s">
        <v>203</v>
      </c>
      <c r="F19" s="13" t="s">
        <v>204</v>
      </c>
      <c r="G19" s="14">
        <v>1.5</v>
      </c>
      <c r="H19" s="136">
        <f>COUNTIF(U20:U28,"&gt;"&amp;U19)+1+COUNTIF(U3:U18,"&gt;="&amp;U19)</f>
        <v>8</v>
      </c>
      <c r="I19" s="136">
        <f>COUNTIF(V20:V28,"&gt;"&amp;V19)+1+COUNTIF(V3:V18,"&gt;="&amp;V19)</f>
        <v>17</v>
      </c>
      <c r="J19" s="161">
        <f t="shared" si="4"/>
        <v>101.142857142857</v>
      </c>
      <c r="K19" s="149">
        <f t="shared" si="1"/>
        <v>33.1875</v>
      </c>
      <c r="L19" s="111">
        <v>1500</v>
      </c>
      <c r="M19" s="120">
        <v>0</v>
      </c>
      <c r="N19" s="69">
        <v>0.58</v>
      </c>
      <c r="O19" s="162">
        <v>0.15</v>
      </c>
      <c r="P19" s="163">
        <v>0</v>
      </c>
      <c r="Q19" s="203">
        <v>0.016</v>
      </c>
      <c r="R19" s="111">
        <f>L19*K32+M19*L32+(G19+F32)*G32</f>
        <v>2625</v>
      </c>
      <c r="S19" s="191">
        <f>IF(G19&gt;M32,G19*G32-M32*G34,M32*G33)+L19*K32+M19*L32</f>
        <v>8000</v>
      </c>
      <c r="T19" s="192">
        <f>(N19*'倾向-优先级表'!J118+O19*'倾向-优先级表'!K118+Q19*'倾向-优先级表'!M118)*G19</f>
        <v>2655</v>
      </c>
      <c r="U19" s="193">
        <f t="shared" si="2"/>
        <v>-164763.75</v>
      </c>
      <c r="V19" s="204">
        <f>(K19-'倾向-优先级表'!D7)*S19</f>
        <v>-553060</v>
      </c>
      <c r="W19" s="106">
        <f t="shared" si="3"/>
        <v>-430263.75</v>
      </c>
      <c r="X19">
        <f>'倾向-优先级表'!D6</f>
        <v>163.91</v>
      </c>
    </row>
    <row r="20" ht="16.35" spans="1:24">
      <c r="A20">
        <f>数据表!H22</f>
        <v>16</v>
      </c>
      <c r="B20" t="s">
        <v>205</v>
      </c>
      <c r="C20">
        <f>数据表!I22</f>
        <v>21</v>
      </c>
      <c r="D20" t="s">
        <v>205</v>
      </c>
      <c r="F20" s="15" t="s">
        <v>204</v>
      </c>
      <c r="G20" s="16">
        <v>2.5</v>
      </c>
      <c r="H20" s="136">
        <f>COUNTIF(U21:U28,"&gt;"&amp;U20)+1+COUNTIF(U3:U19,"&gt;="&amp;U20)</f>
        <v>12</v>
      </c>
      <c r="I20" s="136">
        <f>COUNTIF(V21:V28,"&gt;"&amp;V20)+1+COUNTIF(V3:V19,"&gt;="&amp;V20)</f>
        <v>15</v>
      </c>
      <c r="J20" s="153">
        <f t="shared" si="4"/>
        <v>84.5922077922078</v>
      </c>
      <c r="K20" s="154">
        <f t="shared" si="1"/>
        <v>43.6178571428571</v>
      </c>
      <c r="L20" s="108">
        <v>3000</v>
      </c>
      <c r="M20" s="118">
        <v>0</v>
      </c>
      <c r="N20" s="66">
        <v>0.45</v>
      </c>
      <c r="O20" s="157">
        <v>0.1</v>
      </c>
      <c r="P20" s="164">
        <v>0</v>
      </c>
      <c r="Q20" s="195">
        <v>0.014</v>
      </c>
      <c r="R20" s="108">
        <f>L20*K32+M20*L32+(G20+F32)*G32</f>
        <v>4125</v>
      </c>
      <c r="S20" s="196">
        <f>IF(G20&gt;M32,G20*G32-M32*G34,M32*G33)+L20*K32+M20*L32</f>
        <v>8000</v>
      </c>
      <c r="T20" s="197">
        <f>(N20*'倾向-优先级表'!J118+O20*'倾向-优先级表'!K118+Q20*'倾向-优先级表'!M118)*G20</f>
        <v>3489.42857142857</v>
      </c>
      <c r="U20" s="193">
        <f t="shared" si="2"/>
        <v>-327185.892857143</v>
      </c>
      <c r="V20" s="198">
        <f>(K20-'倾向-优先级表'!D7)*S20</f>
        <v>-469617.142857143</v>
      </c>
      <c r="W20" s="106">
        <f t="shared" si="3"/>
        <v>-676128.75</v>
      </c>
      <c r="X20">
        <f>'倾向-优先级表'!D6</f>
        <v>163.91</v>
      </c>
    </row>
    <row r="21" ht="16.35" spans="1:24">
      <c r="A21">
        <f>数据表!H23</f>
        <v>14</v>
      </c>
      <c r="B21" t="s">
        <v>206</v>
      </c>
      <c r="C21">
        <f>数据表!I23</f>
        <v>20</v>
      </c>
      <c r="D21" t="s">
        <v>206</v>
      </c>
      <c r="F21" s="22" t="s">
        <v>204</v>
      </c>
      <c r="G21" s="23">
        <v>4</v>
      </c>
      <c r="H21" s="138">
        <f>COUNTIF(U22:U28,"&gt;"&amp;U21)+1+COUNTIF(U3:U20,"&gt;="&amp;U21)</f>
        <v>9</v>
      </c>
      <c r="I21" s="138">
        <f>COUNTIF(V22:V28,"&gt;"&amp;V21)+1+COUNTIF(V3:V20,"&gt;="&amp;V21)</f>
        <v>7</v>
      </c>
      <c r="J21" s="166">
        <f t="shared" si="4"/>
        <v>133.905210084034</v>
      </c>
      <c r="K21" s="160">
        <f t="shared" si="1"/>
        <v>106.705714285714</v>
      </c>
      <c r="L21" s="113">
        <v>6000</v>
      </c>
      <c r="M21" s="121">
        <v>0</v>
      </c>
      <c r="N21" s="80">
        <v>0.52</v>
      </c>
      <c r="O21" s="172">
        <v>0.14</v>
      </c>
      <c r="P21" s="173">
        <v>0</v>
      </c>
      <c r="Q21" s="199">
        <v>0.026</v>
      </c>
      <c r="R21" s="113">
        <f>L21*K32+M21*L32+(G21+F32)*G32</f>
        <v>6375</v>
      </c>
      <c r="S21" s="200">
        <f>IF(G21&gt;M32,G21*G32-M32*G34,M32*G33)+L21*K32+M21*L32</f>
        <v>8000</v>
      </c>
      <c r="T21" s="201">
        <f>(N21*'倾向-优先级表'!J118+O21*'倾向-优先级表'!K118+Q21*'倾向-优先级表'!M118)*G21</f>
        <v>8536.45714285714</v>
      </c>
      <c r="U21" s="193">
        <f t="shared" si="2"/>
        <v>-191280.535714283</v>
      </c>
      <c r="V21" s="205">
        <f>(K21-'倾向-优先级表'!D7)*S21</f>
        <v>35085.7142857144</v>
      </c>
      <c r="W21" s="106">
        <f t="shared" si="3"/>
        <v>-1044926.25</v>
      </c>
      <c r="X21">
        <f>'倾向-优先级表'!D6</f>
        <v>163.91</v>
      </c>
    </row>
    <row r="22" ht="16.35" spans="1:24">
      <c r="A22">
        <f>数据表!H24</f>
        <v>15</v>
      </c>
      <c r="B22" t="s">
        <v>207</v>
      </c>
      <c r="C22">
        <f>数据表!I24</f>
        <v>9</v>
      </c>
      <c r="D22" t="s">
        <v>207</v>
      </c>
      <c r="F22" s="19" t="s">
        <v>208</v>
      </c>
      <c r="G22" s="6">
        <v>2</v>
      </c>
      <c r="H22" s="135">
        <f>COUNTIF(U23:U28,"&gt;"&amp;U22)+1+COUNTIF(U3:U21,"&gt;="&amp;U22)</f>
        <v>16</v>
      </c>
      <c r="I22" s="135">
        <f>COUNTIF(V23:V28,"&gt;"&amp;V22)+1+COUNTIF(V3:V21,"&gt;="&amp;V22)</f>
        <v>21</v>
      </c>
      <c r="J22" s="148">
        <f t="shared" si="4"/>
        <v>48.5485714285714</v>
      </c>
      <c r="K22" s="149">
        <f t="shared" si="1"/>
        <v>20.4814285714286</v>
      </c>
      <c r="L22" s="111">
        <v>0</v>
      </c>
      <c r="M22" s="120">
        <v>0</v>
      </c>
      <c r="N22" s="60">
        <v>0</v>
      </c>
      <c r="O22" s="150">
        <v>0</v>
      </c>
      <c r="P22" s="165">
        <v>0</v>
      </c>
      <c r="Q22" s="203">
        <v>0.018</v>
      </c>
      <c r="R22" s="111">
        <f>L22*K32+M22*L32+(G22+F32)*G32</f>
        <v>3375</v>
      </c>
      <c r="S22" s="191">
        <f>IF(G22&gt;M32,G22*G32-M32*G34,M32*G33)+L22*K32+M22*L32</f>
        <v>8000</v>
      </c>
      <c r="T22" s="192">
        <f>(N22*'倾向-优先级表'!J118+O22*'倾向-优先级表'!K118+Q22*'倾向-优先级表'!M118)*G22</f>
        <v>1638.51428571429</v>
      </c>
      <c r="U22" s="193">
        <f t="shared" si="2"/>
        <v>-389344.821428572</v>
      </c>
      <c r="V22" s="194">
        <f>(K22-'倾向-优先级表'!D7)*S22</f>
        <v>-654708.571428571</v>
      </c>
      <c r="W22" s="106">
        <f t="shared" si="3"/>
        <v>-553196.25</v>
      </c>
      <c r="X22">
        <f>'倾向-优先级表'!D6</f>
        <v>163.91</v>
      </c>
    </row>
    <row r="23" ht="16.35" spans="1:24">
      <c r="A23">
        <f>数据表!H25</f>
        <v>23</v>
      </c>
      <c r="B23" t="s">
        <v>209</v>
      </c>
      <c r="C23">
        <f>数据表!I25</f>
        <v>16</v>
      </c>
      <c r="D23" t="s">
        <v>209</v>
      </c>
      <c r="F23" s="24" t="s">
        <v>208</v>
      </c>
      <c r="G23" s="25">
        <v>2</v>
      </c>
      <c r="H23" s="137">
        <f>COUNTIF(U24:U28,"&gt;"&amp;U23)+1+COUNTIF(U3:U22,"&gt;="&amp;U23)</f>
        <v>14</v>
      </c>
      <c r="I23" s="137">
        <f>COUNTIF(V24:V28,"&gt;"&amp;V23)+1+COUNTIF(V3:V22,"&gt;="&amp;V23)</f>
        <v>20</v>
      </c>
      <c r="J23" s="159">
        <f t="shared" si="4"/>
        <v>56.64</v>
      </c>
      <c r="K23" s="160">
        <f t="shared" si="1"/>
        <v>23.895</v>
      </c>
      <c r="L23" s="113">
        <v>0</v>
      </c>
      <c r="M23" s="121">
        <v>0</v>
      </c>
      <c r="N23" s="63">
        <v>0</v>
      </c>
      <c r="O23" s="155">
        <v>0</v>
      </c>
      <c r="P23" s="171">
        <v>0</v>
      </c>
      <c r="Q23" s="199">
        <v>0.021</v>
      </c>
      <c r="R23" s="113">
        <f>L23*K32+M23*L32+(G23+F32)*G32</f>
        <v>3375</v>
      </c>
      <c r="S23" s="200">
        <f>IF(G23&gt;M32,G23*G32-M32*G34,M32*G33)+L23*K32+M23*L32</f>
        <v>8000</v>
      </c>
      <c r="T23" s="201">
        <f>(N23*'倾向-优先级表'!J118+O23*'倾向-优先级表'!K118+Q23*'倾向-优先级表'!M118)*G23</f>
        <v>1911.6</v>
      </c>
      <c r="U23" s="193">
        <f t="shared" si="2"/>
        <v>-362036.25</v>
      </c>
      <c r="V23" s="202">
        <f>(K23-'倾向-优先级表'!D7)*S23</f>
        <v>-627400</v>
      </c>
      <c r="W23" s="106">
        <f t="shared" si="3"/>
        <v>-553196.25</v>
      </c>
      <c r="X23">
        <f>'倾向-优先级表'!D6</f>
        <v>163.91</v>
      </c>
    </row>
    <row r="24" ht="16.35" spans="1:24">
      <c r="A24">
        <f>数据表!H26</f>
        <v>24</v>
      </c>
      <c r="B24" t="s">
        <v>210</v>
      </c>
      <c r="C24">
        <f>数据表!I26</f>
        <v>12</v>
      </c>
      <c r="D24" t="s">
        <v>210</v>
      </c>
      <c r="F24" s="26" t="s">
        <v>211</v>
      </c>
      <c r="G24" s="27">
        <v>4</v>
      </c>
      <c r="H24" s="136">
        <f>COUNTIF(U25:U28,"&gt;"&amp;U24)+1+COUNTIF(U3:U23,"&gt;="&amp;U24)</f>
        <v>15</v>
      </c>
      <c r="I24" s="136">
        <f>COUNTIF(V25:V28,"&gt;"&amp;V24)+1+COUNTIF(V3:V23,"&gt;="&amp;V24)</f>
        <v>9</v>
      </c>
      <c r="J24" s="161">
        <f t="shared" si="4"/>
        <v>103.760672268908</v>
      </c>
      <c r="K24" s="149">
        <f t="shared" si="1"/>
        <v>82.6842857142857</v>
      </c>
      <c r="L24" s="111">
        <v>0</v>
      </c>
      <c r="M24" s="120">
        <v>0</v>
      </c>
      <c r="N24" s="82">
        <v>0.33</v>
      </c>
      <c r="O24" s="174">
        <v>0.09</v>
      </c>
      <c r="P24" s="175">
        <v>0</v>
      </c>
      <c r="Q24" s="203">
        <v>0.023</v>
      </c>
      <c r="R24" s="111">
        <f>L24*K32+M24*L32+(G24+F32)*G32</f>
        <v>6375</v>
      </c>
      <c r="S24" s="191">
        <f>IF(G24&gt;M32,G24*G32-M32*G34,M32*G33)+L24*K32+M24*L32</f>
        <v>8000</v>
      </c>
      <c r="T24" s="192">
        <f>(N24*'倾向-优先级表'!J118+O24*'倾向-优先级表'!K118+Q24*'倾向-优先级表'!M118)*G24</f>
        <v>6614.74285714286</v>
      </c>
      <c r="U24" s="193">
        <f t="shared" si="2"/>
        <v>-383451.964285712</v>
      </c>
      <c r="V24" s="204">
        <f>(K24-'倾向-优先级表'!D7)*S24</f>
        <v>-157085.714285714</v>
      </c>
      <c r="W24" s="106">
        <f t="shared" si="3"/>
        <v>-1044926.25</v>
      </c>
      <c r="X24">
        <f>'倾向-优先级表'!D6</f>
        <v>163.91</v>
      </c>
    </row>
    <row r="25" ht="16.35" spans="1:24">
      <c r="A25">
        <f>数据表!H27</f>
        <v>26</v>
      </c>
      <c r="B25" t="s">
        <v>212</v>
      </c>
      <c r="C25">
        <f>数据表!I27</f>
        <v>24</v>
      </c>
      <c r="D25" t="s">
        <v>212</v>
      </c>
      <c r="F25" s="15" t="s">
        <v>213</v>
      </c>
      <c r="G25" s="16">
        <v>6</v>
      </c>
      <c r="H25" s="136">
        <f>COUNTIF(U26:U28,"&gt;"&amp;U25)+1+COUNTIF(U3:U24,"&gt;="&amp;U25)</f>
        <v>23</v>
      </c>
      <c r="I25" s="136">
        <f>COUNTIF(V26:V28,"&gt;"&amp;V25)+1+COUNTIF(V3:V24,"&gt;="&amp;V25)</f>
        <v>16</v>
      </c>
      <c r="J25" s="153">
        <f t="shared" si="4"/>
        <v>34.9549714285714</v>
      </c>
      <c r="K25" s="154">
        <f t="shared" si="1"/>
        <v>40.9628571428571</v>
      </c>
      <c r="L25" s="108">
        <v>0</v>
      </c>
      <c r="M25" s="118">
        <v>0</v>
      </c>
      <c r="N25" s="60">
        <v>0</v>
      </c>
      <c r="O25" s="150">
        <v>0</v>
      </c>
      <c r="P25" s="165">
        <v>0</v>
      </c>
      <c r="Q25" s="195">
        <v>0.012</v>
      </c>
      <c r="R25" s="108">
        <f>L25*K32+M25*L32+(G25+F32)*G32</f>
        <v>9375</v>
      </c>
      <c r="S25" s="196">
        <f>IF(G25&gt;M32,G25*G32-M32*G34,M32*G33)+L25*K32+M25*L32</f>
        <v>8000</v>
      </c>
      <c r="T25" s="197">
        <f>(N25*'倾向-优先级表'!J118+O25*'倾向-优先级表'!K118+Q25*'倾向-优先级表'!M118)*G25</f>
        <v>3277.02857142857</v>
      </c>
      <c r="U25" s="193">
        <f t="shared" si="2"/>
        <v>-1208953.39285714</v>
      </c>
      <c r="V25" s="198">
        <f>(K25-'倾向-优先级表'!D7)*S25</f>
        <v>-490857.142857143</v>
      </c>
      <c r="W25" s="106">
        <f t="shared" si="3"/>
        <v>-1536656.25</v>
      </c>
      <c r="X25">
        <f>'倾向-优先级表'!D6</f>
        <v>163.91</v>
      </c>
    </row>
    <row r="26" ht="16.35" spans="1:24">
      <c r="A26">
        <f>数据表!H28</f>
        <v>19</v>
      </c>
      <c r="B26" t="s">
        <v>214</v>
      </c>
      <c r="C26">
        <f>数据表!I28</f>
        <v>22</v>
      </c>
      <c r="D26" t="s">
        <v>214</v>
      </c>
      <c r="F26" s="7" t="s">
        <v>213</v>
      </c>
      <c r="G26" s="8">
        <v>8</v>
      </c>
      <c r="H26" s="136">
        <f>COUNTIF(U27:U28,"&gt;"&amp;U26)+1+COUNTIF(U3:U25,"&gt;="&amp;U26)</f>
        <v>24</v>
      </c>
      <c r="I26" s="136">
        <f>COUNTIF(V27:V28,"&gt;"&amp;V26)+1+COUNTIF(V3:V25,"&gt;="&amp;V26)</f>
        <v>12</v>
      </c>
      <c r="J26" s="153">
        <f t="shared" si="4"/>
        <v>38.9042424242424</v>
      </c>
      <c r="K26" s="160">
        <f t="shared" si="1"/>
        <v>60.18</v>
      </c>
      <c r="L26" s="108">
        <v>0</v>
      </c>
      <c r="M26" s="118">
        <v>0</v>
      </c>
      <c r="N26" s="66">
        <v>0.07</v>
      </c>
      <c r="O26" s="157">
        <v>0.01</v>
      </c>
      <c r="P26" s="164">
        <v>0</v>
      </c>
      <c r="Q26" s="195">
        <v>0.011</v>
      </c>
      <c r="R26" s="108">
        <f>L26*K32+M26*L32+(G26+F32)*G32</f>
        <v>12375</v>
      </c>
      <c r="S26" s="196">
        <f>IF(G26&gt;M32,G26*G32-M32*G34,M32*G33)+L26*K32+M26*L32</f>
        <v>8000</v>
      </c>
      <c r="T26" s="197">
        <f>(N26*'倾向-优先级表'!J118+O26*'倾向-优先级表'!K118+Q26*'倾向-优先级表'!M118)*G26</f>
        <v>4814.4</v>
      </c>
      <c r="U26" s="193">
        <f t="shared" si="2"/>
        <v>-1546946.25</v>
      </c>
      <c r="V26" s="198">
        <f>(K26-'倾向-优先级表'!D7)*S26</f>
        <v>-337120</v>
      </c>
      <c r="W26" s="106">
        <f t="shared" si="3"/>
        <v>-2028386.25</v>
      </c>
      <c r="X26">
        <f>'倾向-优先级表'!D6</f>
        <v>163.91</v>
      </c>
    </row>
    <row r="27" ht="16.35" spans="6:24">
      <c r="F27" s="17" t="s">
        <v>213</v>
      </c>
      <c r="G27" s="18">
        <v>12</v>
      </c>
      <c r="H27" s="138">
        <f>COUNTIF(U28:U28,"&gt;"&amp;U27)+1+COUNTIF(U3:U26,"&gt;="&amp;U27)</f>
        <v>26</v>
      </c>
      <c r="I27" s="138">
        <f>COUNTIF(V28:V28,"&gt;"&amp;V27)+1+COUNTIF(V3:V26,"&gt;="&amp;V27)</f>
        <v>24</v>
      </c>
      <c r="J27" s="166">
        <f t="shared" si="4"/>
        <v>35.3380758017493</v>
      </c>
      <c r="K27" s="176">
        <f t="shared" si="1"/>
        <v>46.3812244897959</v>
      </c>
      <c r="L27" s="113">
        <v>0</v>
      </c>
      <c r="M27" s="121">
        <v>0</v>
      </c>
      <c r="N27" s="80">
        <v>0.07</v>
      </c>
      <c r="O27" s="172">
        <v>0.02</v>
      </c>
      <c r="P27" s="173">
        <v>0</v>
      </c>
      <c r="Q27" s="199">
        <v>0.009</v>
      </c>
      <c r="R27" s="113">
        <f>L27*K32+M273*L32+(G27+F32)*G32</f>
        <v>18375</v>
      </c>
      <c r="S27" s="200">
        <f>IF(G27&gt;M32,G27*G32-M32*G34,M32*G33)+L27*K32+M27*L32</f>
        <v>14000</v>
      </c>
      <c r="T27" s="201">
        <f>(N27*'倾向-优先级表'!J118+O27*'倾向-优先级表'!K118+Q27*'倾向-优先级表'!M118)*G27</f>
        <v>6493.37142857143</v>
      </c>
      <c r="U27" s="193">
        <f t="shared" si="2"/>
        <v>-2362509.10714286</v>
      </c>
      <c r="V27" s="202">
        <f>(K27-'倾向-优先级表'!D7)*S27</f>
        <v>-783142.857142857</v>
      </c>
      <c r="W27" s="106">
        <f t="shared" si="3"/>
        <v>-3011846.25</v>
      </c>
      <c r="X27">
        <f>'倾向-优先级表'!D6</f>
        <v>163.91</v>
      </c>
    </row>
    <row r="28" ht="16.35" spans="6:24">
      <c r="F28" s="28" t="s">
        <v>215</v>
      </c>
      <c r="G28" s="29">
        <v>3</v>
      </c>
      <c r="H28" s="139">
        <f>1+COUNTIF(U3:U27,"&gt;="&amp;U28)</f>
        <v>19</v>
      </c>
      <c r="I28" s="139">
        <f>1+COUNTIF(V3:V27,"&gt;="&amp;V28)</f>
        <v>22</v>
      </c>
      <c r="J28" s="177">
        <f t="shared" si="4"/>
        <v>30.8096703296703</v>
      </c>
      <c r="K28" s="178">
        <f t="shared" si="1"/>
        <v>18.7746428571429</v>
      </c>
      <c r="L28" s="179">
        <v>0</v>
      </c>
      <c r="M28" s="180">
        <v>0</v>
      </c>
      <c r="N28" s="80">
        <v>0</v>
      </c>
      <c r="O28" s="172">
        <v>0</v>
      </c>
      <c r="P28" s="173"/>
      <c r="Q28" s="207">
        <v>0.011</v>
      </c>
      <c r="R28" s="179">
        <f>L28*K32+M28*L32+(G28+F32)*G32</f>
        <v>4875</v>
      </c>
      <c r="S28" s="208">
        <f>IF(G28&gt;M32,G28*G32-M32*G34,M32*G33)+L28*K32+M28*L32</f>
        <v>8000</v>
      </c>
      <c r="T28" s="209">
        <f>(N28*'倾向-优先级表'!J118+O28*'倾向-优先级表'!K118+Q28*'倾向-优先级表'!M118)*G28</f>
        <v>1501.97142857143</v>
      </c>
      <c r="U28" s="193">
        <f t="shared" si="2"/>
        <v>-648864.107142857</v>
      </c>
      <c r="V28" s="210">
        <f>(K28-'倾向-优先级表'!D7)*S28</f>
        <v>-668362.857142857</v>
      </c>
      <c r="W28" s="105">
        <f t="shared" si="3"/>
        <v>-799061.25</v>
      </c>
      <c r="X28">
        <f>'倾向-优先级表'!D6</f>
        <v>163.91</v>
      </c>
    </row>
    <row r="30" spans="17:20">
      <c r="Q30">
        <f>H3</f>
        <v>18</v>
      </c>
      <c r="R30">
        <f>IF(U3&gt;0,999,0)</f>
        <v>0</v>
      </c>
      <c r="S30">
        <f>I3</f>
        <v>23</v>
      </c>
      <c r="T30">
        <f>IF(V3&gt;0,999,0)</f>
        <v>0</v>
      </c>
    </row>
    <row r="31" spans="17:20">
      <c r="Q31">
        <f t="shared" ref="Q31:Q55" si="5">H4</f>
        <v>22</v>
      </c>
      <c r="R31">
        <f t="shared" ref="R31:R55" si="6">IF(U4&gt;0,999,0)</f>
        <v>0</v>
      </c>
      <c r="S31">
        <f t="shared" ref="S31:S55" si="7">I4</f>
        <v>25</v>
      </c>
      <c r="T31">
        <f t="shared" ref="T31:T55" si="8">IF(V4&gt;0,999,0)</f>
        <v>0</v>
      </c>
    </row>
    <row r="32" spans="6:20">
      <c r="F32">
        <f>'倾向-优先级表'!D12/60</f>
        <v>0.25</v>
      </c>
      <c r="G32">
        <f>'倾向-优先级表'!F116</f>
        <v>1500</v>
      </c>
      <c r="H32">
        <f>'倾向-优先级表'!J118</f>
        <v>1011.42857142857</v>
      </c>
      <c r="I32">
        <f>'倾向-优先级表'!K118</f>
        <v>3034.28571428571</v>
      </c>
      <c r="J32">
        <f>'倾向-优先级表'!M118</f>
        <v>45514.2857142857</v>
      </c>
      <c r="K32">
        <f>'倾向-优先级表'!I118</f>
        <v>0</v>
      </c>
      <c r="L32">
        <f>'倾向-优先级表'!H118</f>
        <v>1300</v>
      </c>
      <c r="M32">
        <f>24-'倾向-优先级表'!I13</f>
        <v>8</v>
      </c>
      <c r="Q32">
        <f t="shared" si="5"/>
        <v>25</v>
      </c>
      <c r="R32">
        <f t="shared" si="6"/>
        <v>0</v>
      </c>
      <c r="S32">
        <f t="shared" si="7"/>
        <v>26</v>
      </c>
      <c r="T32">
        <f t="shared" si="8"/>
        <v>0</v>
      </c>
    </row>
    <row r="33" spans="7:20">
      <c r="G33">
        <f>'倾向-优先级表'!G116</f>
        <v>1000</v>
      </c>
      <c r="Q33">
        <f t="shared" si="5"/>
        <v>13</v>
      </c>
      <c r="R33">
        <f t="shared" si="6"/>
        <v>0</v>
      </c>
      <c r="S33">
        <f t="shared" si="7"/>
        <v>18</v>
      </c>
      <c r="T33">
        <f t="shared" si="8"/>
        <v>0</v>
      </c>
    </row>
    <row r="34" spans="7:20">
      <c r="G34">
        <f>G32-G33</f>
        <v>500</v>
      </c>
      <c r="Q34">
        <f t="shared" si="5"/>
        <v>5</v>
      </c>
      <c r="R34">
        <f t="shared" si="6"/>
        <v>0</v>
      </c>
      <c r="S34">
        <f t="shared" si="7"/>
        <v>19</v>
      </c>
      <c r="T34">
        <f t="shared" si="8"/>
        <v>0</v>
      </c>
    </row>
    <row r="35" spans="17:20">
      <c r="Q35">
        <f t="shared" si="5"/>
        <v>7</v>
      </c>
      <c r="R35">
        <f t="shared" si="6"/>
        <v>0</v>
      </c>
      <c r="S35">
        <f t="shared" si="7"/>
        <v>13</v>
      </c>
      <c r="T35">
        <f t="shared" si="8"/>
        <v>0</v>
      </c>
    </row>
    <row r="36" spans="17:20">
      <c r="Q36">
        <f t="shared" si="5"/>
        <v>6</v>
      </c>
      <c r="R36">
        <f t="shared" si="6"/>
        <v>0</v>
      </c>
      <c r="S36">
        <f t="shared" si="7"/>
        <v>6</v>
      </c>
      <c r="T36">
        <f t="shared" si="8"/>
        <v>999</v>
      </c>
    </row>
    <row r="37" spans="6:20">
      <c r="F37">
        <f>'倾向-优先级表'!M33</f>
        <v>0.150958298366832</v>
      </c>
      <c r="J37" t="s">
        <v>216</v>
      </c>
      <c r="K37">
        <f ca="1">(当前时间项目推荐!B11-ROUNDDOWN(当前时间项目推荐!B11,0))*24</f>
        <v>20.1797222222085</v>
      </c>
      <c r="M37" t="s">
        <v>217</v>
      </c>
      <c r="N37">
        <f>'倾向-优先级表'!I13</f>
        <v>16</v>
      </c>
      <c r="Q37">
        <f t="shared" si="5"/>
        <v>1</v>
      </c>
      <c r="R37">
        <f t="shared" si="6"/>
        <v>999</v>
      </c>
      <c r="S37">
        <f t="shared" si="7"/>
        <v>1</v>
      </c>
      <c r="T37">
        <f t="shared" si="8"/>
        <v>999</v>
      </c>
    </row>
    <row r="38" spans="3:20">
      <c r="C38">
        <f>IF(F37&lt;0.04,1,0)</f>
        <v>0</v>
      </c>
      <c r="D38" t="s">
        <v>218</v>
      </c>
      <c r="J38" t="s">
        <v>219</v>
      </c>
      <c r="K38">
        <f>(当前时间项目推荐!C16-ROUNDDOWN(当前时间项目推荐!C16,0))*24</f>
        <v>23.5</v>
      </c>
      <c r="N38">
        <f ca="1">IF((K38-K37)&lt;0,K38+24,K38)-K37</f>
        <v>3.32027777779149</v>
      </c>
      <c r="Q38">
        <f t="shared" si="5"/>
        <v>10</v>
      </c>
      <c r="R38">
        <f t="shared" si="6"/>
        <v>0</v>
      </c>
      <c r="S38">
        <f t="shared" si="7"/>
        <v>14</v>
      </c>
      <c r="T38">
        <f t="shared" si="8"/>
        <v>0</v>
      </c>
    </row>
    <row r="39" spans="3:20">
      <c r="C39">
        <f>IF((F37&gt;=0.04)*(F37&lt;0.1),1,0)</f>
        <v>0</v>
      </c>
      <c r="D39" t="s">
        <v>220</v>
      </c>
      <c r="J39" t="s">
        <v>221</v>
      </c>
      <c r="K39">
        <f ca="1">IF(N38&gt;N37,0,N38)</f>
        <v>3.32027777779149</v>
      </c>
      <c r="Q39">
        <f t="shared" si="5"/>
        <v>20</v>
      </c>
      <c r="R39">
        <f t="shared" si="6"/>
        <v>0</v>
      </c>
      <c r="S39">
        <f t="shared" si="7"/>
        <v>11</v>
      </c>
      <c r="T39">
        <f t="shared" si="8"/>
        <v>0</v>
      </c>
    </row>
    <row r="40" spans="3:20">
      <c r="C40">
        <f>IF((F37&gt;=0.1)*(F37&lt;0.18),1,0)</f>
        <v>1</v>
      </c>
      <c r="D40" t="s">
        <v>222</v>
      </c>
      <c r="Q40">
        <f t="shared" si="5"/>
        <v>21</v>
      </c>
      <c r="R40">
        <f t="shared" si="6"/>
        <v>0</v>
      </c>
      <c r="S40">
        <f t="shared" si="7"/>
        <v>4</v>
      </c>
      <c r="T40">
        <f t="shared" si="8"/>
        <v>999</v>
      </c>
    </row>
    <row r="41" spans="3:20">
      <c r="C41">
        <f>IF((F37&gt;=0.18)*(F37&lt;0.26),1,0)</f>
        <v>0</v>
      </c>
      <c r="D41" t="s">
        <v>223</v>
      </c>
      <c r="Q41">
        <f t="shared" si="5"/>
        <v>3</v>
      </c>
      <c r="R41">
        <f t="shared" si="6"/>
        <v>999</v>
      </c>
      <c r="S41">
        <f t="shared" si="7"/>
        <v>8</v>
      </c>
      <c r="T41">
        <f t="shared" si="8"/>
        <v>0</v>
      </c>
    </row>
    <row r="42" spans="3:20">
      <c r="C42">
        <f>IF((F37&gt;=0.26)*(F37&lt;0.32),1,0)</f>
        <v>0</v>
      </c>
      <c r="D42" t="s">
        <v>224</v>
      </c>
      <c r="Q42">
        <f t="shared" si="5"/>
        <v>4</v>
      </c>
      <c r="R42">
        <f t="shared" si="6"/>
        <v>0</v>
      </c>
      <c r="S42">
        <f t="shared" si="7"/>
        <v>10</v>
      </c>
      <c r="T42">
        <f t="shared" si="8"/>
        <v>0</v>
      </c>
    </row>
    <row r="43" spans="3:20">
      <c r="C43">
        <f>IF((F37&gt;=0.32)*(F37&lt;0.38),1,0)</f>
        <v>0</v>
      </c>
      <c r="D43" t="s">
        <v>225</v>
      </c>
      <c r="M43" t="s">
        <v>226</v>
      </c>
      <c r="N43" t="s">
        <v>227</v>
      </c>
      <c r="Q43">
        <f t="shared" si="5"/>
        <v>11</v>
      </c>
      <c r="R43">
        <f t="shared" si="6"/>
        <v>0</v>
      </c>
      <c r="S43">
        <f t="shared" si="7"/>
        <v>5</v>
      </c>
      <c r="T43">
        <f t="shared" si="8"/>
        <v>999</v>
      </c>
    </row>
    <row r="44" spans="3:20">
      <c r="C44">
        <f>IF((F37&gt;=0.38),1,0)</f>
        <v>0</v>
      </c>
      <c r="D44" t="s">
        <v>228</v>
      </c>
      <c r="L44" t="s">
        <v>229</v>
      </c>
      <c r="M44">
        <f>白天模拟!S60+夜晚模拟!S60</f>
        <v>0.573707810677255</v>
      </c>
      <c r="N44">
        <f>白天模拟!T60+夜晚模拟!T60</f>
        <v>5.29087294694609</v>
      </c>
      <c r="Q44">
        <f t="shared" si="5"/>
        <v>17</v>
      </c>
      <c r="R44">
        <f t="shared" si="6"/>
        <v>0</v>
      </c>
      <c r="S44">
        <f t="shared" si="7"/>
        <v>3</v>
      </c>
      <c r="T44">
        <f t="shared" si="8"/>
        <v>999</v>
      </c>
    </row>
    <row r="45" spans="13:20">
      <c r="M45">
        <f>M44*5/N44</f>
        <v>0.542167442338982</v>
      </c>
      <c r="Q45">
        <f t="shared" si="5"/>
        <v>2</v>
      </c>
      <c r="R45">
        <f t="shared" si="6"/>
        <v>999</v>
      </c>
      <c r="S45">
        <f t="shared" si="7"/>
        <v>2</v>
      </c>
      <c r="T45">
        <f t="shared" si="8"/>
        <v>999</v>
      </c>
    </row>
    <row r="46" spans="2:20">
      <c r="B46" s="140">
        <v>44385.5833333333</v>
      </c>
      <c r="L46" t="s">
        <v>230</v>
      </c>
      <c r="M46">
        <f>1/M45</f>
        <v>1.84444863691163</v>
      </c>
      <c r="Q46">
        <f t="shared" si="5"/>
        <v>8</v>
      </c>
      <c r="R46">
        <f t="shared" si="6"/>
        <v>0</v>
      </c>
      <c r="S46">
        <f t="shared" si="7"/>
        <v>17</v>
      </c>
      <c r="T46">
        <f t="shared" si="8"/>
        <v>0</v>
      </c>
    </row>
    <row r="47" spans="17:20">
      <c r="Q47">
        <f t="shared" si="5"/>
        <v>12</v>
      </c>
      <c r="R47">
        <f t="shared" si="6"/>
        <v>0</v>
      </c>
      <c r="S47">
        <f t="shared" si="7"/>
        <v>15</v>
      </c>
      <c r="T47">
        <f t="shared" si="8"/>
        <v>0</v>
      </c>
    </row>
    <row r="48" spans="17:20">
      <c r="Q48">
        <f t="shared" si="5"/>
        <v>9</v>
      </c>
      <c r="R48">
        <f t="shared" si="6"/>
        <v>0</v>
      </c>
      <c r="S48">
        <f t="shared" si="7"/>
        <v>7</v>
      </c>
      <c r="T48">
        <f t="shared" si="8"/>
        <v>999</v>
      </c>
    </row>
    <row r="49" spans="17:20">
      <c r="Q49">
        <f t="shared" si="5"/>
        <v>16</v>
      </c>
      <c r="R49">
        <f t="shared" si="6"/>
        <v>0</v>
      </c>
      <c r="S49">
        <f t="shared" si="7"/>
        <v>21</v>
      </c>
      <c r="T49">
        <f t="shared" si="8"/>
        <v>0</v>
      </c>
    </row>
    <row r="50" spans="17:20">
      <c r="Q50">
        <f t="shared" si="5"/>
        <v>14</v>
      </c>
      <c r="R50">
        <f t="shared" si="6"/>
        <v>0</v>
      </c>
      <c r="S50">
        <f t="shared" si="7"/>
        <v>20</v>
      </c>
      <c r="T50">
        <f t="shared" si="8"/>
        <v>0</v>
      </c>
    </row>
    <row r="51" spans="10:20">
      <c r="J51">
        <f>21*6</f>
        <v>126</v>
      </c>
      <c r="Q51">
        <f t="shared" si="5"/>
        <v>15</v>
      </c>
      <c r="R51">
        <f t="shared" si="6"/>
        <v>0</v>
      </c>
      <c r="S51">
        <f t="shared" si="7"/>
        <v>9</v>
      </c>
      <c r="T51">
        <f t="shared" si="8"/>
        <v>0</v>
      </c>
    </row>
    <row r="52" spans="3:20">
      <c r="C52" t="s">
        <v>231</v>
      </c>
      <c r="D52">
        <f ca="1">当前时间项目推荐!B11-B53</f>
        <v>233.257488425959</v>
      </c>
      <c r="Q52">
        <f t="shared" si="5"/>
        <v>23</v>
      </c>
      <c r="R52">
        <f t="shared" si="6"/>
        <v>0</v>
      </c>
      <c r="S52">
        <f t="shared" si="7"/>
        <v>16</v>
      </c>
      <c r="T52">
        <f t="shared" si="8"/>
        <v>0</v>
      </c>
    </row>
    <row r="53" spans="2:20">
      <c r="B53" s="140">
        <v>44385.5833333333</v>
      </c>
      <c r="Q53">
        <f t="shared" si="5"/>
        <v>24</v>
      </c>
      <c r="R53">
        <f t="shared" si="6"/>
        <v>0</v>
      </c>
      <c r="S53">
        <f t="shared" si="7"/>
        <v>12</v>
      </c>
      <c r="T53">
        <f t="shared" si="8"/>
        <v>0</v>
      </c>
    </row>
    <row r="54" spans="2:20">
      <c r="B54" s="141"/>
      <c r="D54">
        <f>8/('倾向-优先级表'!D29/('倾向-优先级表'!D30-1))</f>
        <v>3.25549245980959</v>
      </c>
      <c r="Q54">
        <f t="shared" si="5"/>
        <v>26</v>
      </c>
      <c r="R54">
        <f t="shared" si="6"/>
        <v>0</v>
      </c>
      <c r="S54">
        <f t="shared" si="7"/>
        <v>24</v>
      </c>
      <c r="T54">
        <f t="shared" si="8"/>
        <v>0</v>
      </c>
    </row>
    <row r="55" spans="2:20">
      <c r="B55" s="141"/>
      <c r="D55">
        <f ca="1">D52/7*7</f>
        <v>233.257488425959</v>
      </c>
      <c r="Q55">
        <f t="shared" si="5"/>
        <v>19</v>
      </c>
      <c r="R55">
        <f t="shared" si="6"/>
        <v>0</v>
      </c>
      <c r="S55">
        <f t="shared" si="7"/>
        <v>22</v>
      </c>
      <c r="T55">
        <f t="shared" si="8"/>
        <v>0</v>
      </c>
    </row>
    <row r="56" spans="2:4">
      <c r="B56" s="141"/>
      <c r="D56">
        <f ca="1">D55/D54</f>
        <v>71.650446531706</v>
      </c>
    </row>
    <row r="58" spans="18:27">
      <c r="R58" t="s">
        <v>232</v>
      </c>
      <c r="S58" t="s">
        <v>233</v>
      </c>
      <c r="T58" t="s">
        <v>234</v>
      </c>
      <c r="U58" t="s">
        <v>235</v>
      </c>
      <c r="W58" t="s">
        <v>236</v>
      </c>
      <c r="Y58" t="s">
        <v>234</v>
      </c>
      <c r="AA58" t="s">
        <v>237</v>
      </c>
    </row>
    <row r="59" spans="12:28">
      <c r="L59" t="s">
        <v>238</v>
      </c>
      <c r="M59">
        <f>'倾向-优先级表'!H29/'倾向-优先级表'!D30</f>
        <v>0.0724631462658668</v>
      </c>
      <c r="R59">
        <f>Q3*G3</f>
        <v>0</v>
      </c>
      <c r="S59">
        <f>1-R59</f>
        <v>1</v>
      </c>
      <c r="T59">
        <f>R59*S59</f>
        <v>0</v>
      </c>
      <c r="U59">
        <f>(白天模拟!I33*V59+夜晚模拟!I33)/(V59*100)</f>
        <v>0</v>
      </c>
      <c r="V59">
        <f>白天模拟!H73</f>
        <v>6.51098491961918</v>
      </c>
      <c r="W59">
        <f>U85</f>
        <v>1.15358659440091</v>
      </c>
      <c r="X59">
        <f>U59/W59</f>
        <v>0</v>
      </c>
      <c r="Y59">
        <f>X59*(1-X59)</f>
        <v>0</v>
      </c>
      <c r="Z59">
        <f>Y59+T59</f>
        <v>0</v>
      </c>
      <c r="AA59">
        <f ca="1">M60</f>
        <v>1680.34303142392</v>
      </c>
      <c r="AB59">
        <f ca="1">AA59*X59*Z59</f>
        <v>0</v>
      </c>
    </row>
    <row r="60" spans="4:28">
      <c r="D60">
        <v>0</v>
      </c>
      <c r="L60" t="s">
        <v>237</v>
      </c>
      <c r="M60">
        <f ca="1">D52*'倾向-优先级表'!D30-D56</f>
        <v>1680.34303142392</v>
      </c>
      <c r="R60">
        <f t="shared" ref="R60:R84" si="9">Q4*G4</f>
        <v>0</v>
      </c>
      <c r="S60">
        <f t="shared" ref="S60:S84" si="10">1-R60</f>
        <v>1</v>
      </c>
      <c r="T60">
        <f t="shared" ref="T60:T84" si="11">R60*S60</f>
        <v>0</v>
      </c>
      <c r="U60">
        <f>(白天模拟!I34*V60+夜晚模拟!I34)/(V60*100)</f>
        <v>0</v>
      </c>
      <c r="V60">
        <f>V59</f>
        <v>6.51098491961918</v>
      </c>
      <c r="W60">
        <f>W59</f>
        <v>1.15358659440091</v>
      </c>
      <c r="X60">
        <f t="shared" ref="X60:X84" si="12">U60/W60</f>
        <v>0</v>
      </c>
      <c r="Y60">
        <f t="shared" ref="Y60:Y84" si="13">X60*(1-X60)</f>
        <v>0</v>
      </c>
      <c r="Z60">
        <f t="shared" ref="Z60:Z84" si="14">Y60+T60</f>
        <v>0</v>
      </c>
      <c r="AA60">
        <f ca="1">AA59</f>
        <v>1680.34303142392</v>
      </c>
      <c r="AB60">
        <f ca="1" t="shared" ref="AB60:AB84" si="15">AA60*X60*Z60</f>
        <v>0</v>
      </c>
    </row>
    <row r="61" spans="2:28">
      <c r="B61">
        <v>1</v>
      </c>
      <c r="C61">
        <f>B61/100</f>
        <v>0.01</v>
      </c>
      <c r="D61">
        <f>(1/(2*PI())^0.5)*EXP(-((3-3*C61)^2))+D60</f>
        <v>5.88900428603413e-5</v>
      </c>
      <c r="E61">
        <f>D61/23.5697038852067</f>
        <v>2.49854826972617e-6</v>
      </c>
      <c r="G61">
        <f ca="1">N66-M66</f>
        <v>109.7563106575</v>
      </c>
      <c r="L61" t="s">
        <v>239</v>
      </c>
      <c r="M61">
        <f ca="1">AB85</f>
        <v>334.623548031823</v>
      </c>
      <c r="R61">
        <f t="shared" si="9"/>
        <v>0</v>
      </c>
      <c r="S61">
        <f t="shared" si="10"/>
        <v>1</v>
      </c>
      <c r="T61">
        <f t="shared" si="11"/>
        <v>0</v>
      </c>
      <c r="U61">
        <f>(白天模拟!I35*V61+夜晚模拟!I35)/(V61*100)</f>
        <v>0</v>
      </c>
      <c r="V61">
        <f t="shared" ref="V61:V84" si="16">V60</f>
        <v>6.51098491961918</v>
      </c>
      <c r="W61">
        <f t="shared" ref="W61:W84" si="17">W60</f>
        <v>1.15358659440091</v>
      </c>
      <c r="X61">
        <f t="shared" si="12"/>
        <v>0</v>
      </c>
      <c r="Y61">
        <f t="shared" si="13"/>
        <v>0</v>
      </c>
      <c r="Z61">
        <f t="shared" si="14"/>
        <v>0</v>
      </c>
      <c r="AA61">
        <f ca="1" t="shared" ref="AA61:AA84" si="18">AA60</f>
        <v>1680.34303142392</v>
      </c>
      <c r="AB61">
        <f ca="1" t="shared" si="15"/>
        <v>0</v>
      </c>
    </row>
    <row r="62" spans="2:28">
      <c r="B62">
        <v>2</v>
      </c>
      <c r="C62">
        <f t="shared" ref="C62:C93" si="19">B62/100</f>
        <v>0.02</v>
      </c>
      <c r="D62">
        <f t="shared" ref="D62:D93" si="20">(1/(2*PI())^0.5)*EXP(-((3-3*C62)^2))+D61</f>
        <v>0.000129204120153406</v>
      </c>
      <c r="E62">
        <f t="shared" ref="E62:E93" si="21">D62/23.5697038852067</f>
        <v>5.48178800984001e-6</v>
      </c>
      <c r="G62">
        <f ca="1">当前时间项目推荐!L3-当前时间项目推荐!L5+当前时间项目推荐!N4</f>
        <v>29.1152124658483</v>
      </c>
      <c r="L62" t="s">
        <v>240</v>
      </c>
      <c r="M62">
        <f ca="1">M59*M60</f>
        <v>121.762942862902</v>
      </c>
      <c r="R62">
        <f t="shared" si="9"/>
        <v>0</v>
      </c>
      <c r="S62">
        <f t="shared" si="10"/>
        <v>1</v>
      </c>
      <c r="T62">
        <f t="shared" si="11"/>
        <v>0</v>
      </c>
      <c r="U62">
        <f>(白天模拟!I36*V62+夜晚模拟!I36)/(V62*100)</f>
        <v>0</v>
      </c>
      <c r="V62">
        <f t="shared" si="16"/>
        <v>6.51098491961918</v>
      </c>
      <c r="W62">
        <f t="shared" si="17"/>
        <v>1.15358659440091</v>
      </c>
      <c r="X62">
        <f t="shared" si="12"/>
        <v>0</v>
      </c>
      <c r="Y62">
        <f t="shared" si="13"/>
        <v>0</v>
      </c>
      <c r="Z62">
        <f t="shared" si="14"/>
        <v>0</v>
      </c>
      <c r="AA62">
        <f ca="1" t="shared" si="18"/>
        <v>1680.34303142392</v>
      </c>
      <c r="AB62">
        <f ca="1" t="shared" si="15"/>
        <v>0</v>
      </c>
    </row>
    <row r="63" spans="2:28">
      <c r="B63">
        <v>3</v>
      </c>
      <c r="C63">
        <f t="shared" si="19"/>
        <v>0.03</v>
      </c>
      <c r="D63">
        <f t="shared" si="20"/>
        <v>0.00021300738986455</v>
      </c>
      <c r="E63">
        <f t="shared" si="21"/>
        <v>9.03733839432076e-6</v>
      </c>
      <c r="G63">
        <f ca="1">G62/G61</f>
        <v>0.265271420763256</v>
      </c>
      <c r="L63" t="s">
        <v>241</v>
      </c>
      <c r="M63">
        <f ca="1">M61^0.5</f>
        <v>18.2927184429167</v>
      </c>
      <c r="R63">
        <f t="shared" si="9"/>
        <v>0.052</v>
      </c>
      <c r="S63">
        <f t="shared" si="10"/>
        <v>0.948</v>
      </c>
      <c r="T63">
        <f t="shared" si="11"/>
        <v>0.049296</v>
      </c>
      <c r="U63">
        <f>(白天模拟!I37*V63+夜晚模拟!I37)/(V63*100)</f>
        <v>0.20237906120359</v>
      </c>
      <c r="V63">
        <f t="shared" si="16"/>
        <v>6.51098491961918</v>
      </c>
      <c r="W63">
        <f t="shared" si="17"/>
        <v>1.15358659440091</v>
      </c>
      <c r="X63">
        <f t="shared" si="12"/>
        <v>0.175434650667634</v>
      </c>
      <c r="Y63">
        <f t="shared" si="13"/>
        <v>0.144657334012759</v>
      </c>
      <c r="Z63">
        <f t="shared" si="14"/>
        <v>0.193953334012759</v>
      </c>
      <c r="AA63">
        <f ca="1" t="shared" si="18"/>
        <v>1680.34303142392</v>
      </c>
      <c r="AB63">
        <f ca="1" t="shared" si="15"/>
        <v>57.1755795029066</v>
      </c>
    </row>
    <row r="64" spans="2:28">
      <c r="B64">
        <v>4</v>
      </c>
      <c r="C64">
        <f t="shared" si="19"/>
        <v>0.04</v>
      </c>
      <c r="D64">
        <f t="shared" si="20"/>
        <v>0.000312708022741402</v>
      </c>
      <c r="E64">
        <f t="shared" si="21"/>
        <v>1.3267371718559e-5</v>
      </c>
      <c r="G64">
        <f ca="1">G63*200</f>
        <v>53.0542841526513</v>
      </c>
      <c r="L64" t="s">
        <v>242</v>
      </c>
      <c r="M64">
        <f ca="1">3*M63/M62</f>
        <v>0.450696690129605</v>
      </c>
      <c r="R64">
        <f t="shared" si="9"/>
        <v>0.094</v>
      </c>
      <c r="S64">
        <f t="shared" si="10"/>
        <v>0.906</v>
      </c>
      <c r="T64">
        <f t="shared" si="11"/>
        <v>0.085164</v>
      </c>
      <c r="U64">
        <f>(白天模拟!I38*V64+夜晚模拟!I38)/(V64*100)</f>
        <v>0.0865358307737079</v>
      </c>
      <c r="V64">
        <f t="shared" si="16"/>
        <v>6.51098491961918</v>
      </c>
      <c r="W64">
        <f t="shared" si="17"/>
        <v>1.15358659440091</v>
      </c>
      <c r="X64">
        <f t="shared" si="12"/>
        <v>0.0750145946509098</v>
      </c>
      <c r="Y64">
        <f t="shared" si="13"/>
        <v>0.0693874052402695</v>
      </c>
      <c r="Z64">
        <f t="shared" si="14"/>
        <v>0.15455140524027</v>
      </c>
      <c r="AA64">
        <f ca="1" t="shared" si="18"/>
        <v>1680.34303142392</v>
      </c>
      <c r="AB64">
        <f ca="1" t="shared" si="15"/>
        <v>19.4812434811654</v>
      </c>
    </row>
    <row r="65" spans="2:28">
      <c r="B65">
        <v>5</v>
      </c>
      <c r="C65">
        <f t="shared" si="19"/>
        <v>0.05</v>
      </c>
      <c r="D65">
        <f t="shared" si="20"/>
        <v>0.000431108413735515</v>
      </c>
      <c r="E65">
        <f t="shared" si="21"/>
        <v>1.82907861649504e-5</v>
      </c>
      <c r="G65">
        <f ca="1">ROUND(G64,0)/100</f>
        <v>0.53</v>
      </c>
      <c r="M65" t="s">
        <v>243</v>
      </c>
      <c r="N65" t="s">
        <v>244</v>
      </c>
      <c r="R65">
        <f t="shared" si="9"/>
        <v>0.204</v>
      </c>
      <c r="S65">
        <f t="shared" si="10"/>
        <v>0.796</v>
      </c>
      <c r="T65">
        <f t="shared" si="11"/>
        <v>0.162384</v>
      </c>
      <c r="U65">
        <f>(白天模拟!I39*V65+夜晚模拟!I39)/(V65*100)</f>
        <v>0.0593944786565465</v>
      </c>
      <c r="V65">
        <f t="shared" si="16"/>
        <v>6.51098491961918</v>
      </c>
      <c r="W65">
        <f t="shared" si="17"/>
        <v>1.15358659440091</v>
      </c>
      <c r="X65">
        <f t="shared" si="12"/>
        <v>0.0514867968688486</v>
      </c>
      <c r="Y65">
        <f t="shared" si="13"/>
        <v>0.0488359066170345</v>
      </c>
      <c r="Z65">
        <f t="shared" si="14"/>
        <v>0.211219906617034</v>
      </c>
      <c r="AA65">
        <f ca="1" t="shared" si="18"/>
        <v>1680.34303142392</v>
      </c>
      <c r="AB65">
        <f ca="1" t="shared" si="15"/>
        <v>18.273791676</v>
      </c>
    </row>
    <row r="66" spans="2:28">
      <c r="B66">
        <v>6</v>
      </c>
      <c r="C66">
        <f t="shared" si="19"/>
        <v>0.06</v>
      </c>
      <c r="D66">
        <f t="shared" si="20"/>
        <v>0.000571463006336577</v>
      </c>
      <c r="E66">
        <f t="shared" si="21"/>
        <v>2.42456591359746e-5</v>
      </c>
      <c r="G66">
        <f ca="1">VLOOKUP(G65,C61:E260,3,0)</f>
        <v>0.0242375702653921</v>
      </c>
      <c r="L66" t="s">
        <v>245</v>
      </c>
      <c r="M66">
        <f ca="1">M62*(1-M64)</f>
        <v>66.8847875341517</v>
      </c>
      <c r="N66">
        <f ca="1">M62*(1+M64)</f>
        <v>176.641098191652</v>
      </c>
      <c r="R66">
        <f t="shared" si="9"/>
        <v>0.408</v>
      </c>
      <c r="S66">
        <f t="shared" si="10"/>
        <v>0.592</v>
      </c>
      <c r="T66">
        <f t="shared" si="11"/>
        <v>0.241536</v>
      </c>
      <c r="U66">
        <f>(白天模拟!I40*V66+夜晚模拟!I40)/(V66*100)</f>
        <v>0.0578614284416987</v>
      </c>
      <c r="V66">
        <f t="shared" si="16"/>
        <v>6.51098491961918</v>
      </c>
      <c r="W66">
        <f t="shared" si="17"/>
        <v>1.15358659440091</v>
      </c>
      <c r="X66">
        <f t="shared" si="12"/>
        <v>0.0501578544016868</v>
      </c>
      <c r="Y66">
        <f t="shared" si="13"/>
        <v>0.047642044043506</v>
      </c>
      <c r="Z66">
        <f t="shared" si="14"/>
        <v>0.289178044043506</v>
      </c>
      <c r="AA66">
        <f ca="1" t="shared" si="18"/>
        <v>1680.34303142392</v>
      </c>
      <c r="AB66">
        <f ca="1" t="shared" si="15"/>
        <v>24.3726199017404</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v>
      </c>
      <c r="V67">
        <f t="shared" si="16"/>
        <v>6.51098491961918</v>
      </c>
      <c r="W67">
        <f t="shared" si="17"/>
        <v>1.15358659440091</v>
      </c>
      <c r="X67">
        <f t="shared" si="12"/>
        <v>0</v>
      </c>
      <c r="Y67">
        <f t="shared" si="13"/>
        <v>0</v>
      </c>
      <c r="Z67">
        <f t="shared" si="14"/>
        <v>0.033775</v>
      </c>
      <c r="AA67">
        <f ca="1" t="shared" si="18"/>
        <v>1680.34303142392</v>
      </c>
      <c r="AB67">
        <f ca="1" t="shared" si="15"/>
        <v>0</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v>
      </c>
      <c r="V68">
        <f t="shared" si="16"/>
        <v>6.51098491961918</v>
      </c>
      <c r="W68">
        <f t="shared" si="17"/>
        <v>1.15358659440091</v>
      </c>
      <c r="X68">
        <f t="shared" si="12"/>
        <v>0</v>
      </c>
      <c r="Y68">
        <f t="shared" si="13"/>
        <v>0</v>
      </c>
      <c r="Z68">
        <f t="shared" si="14"/>
        <v>0.0475</v>
      </c>
      <c r="AA68">
        <f ca="1" t="shared" si="18"/>
        <v>1680.34303142392</v>
      </c>
      <c r="AB68">
        <f ca="1" t="shared" si="15"/>
        <v>0</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0</v>
      </c>
      <c r="V69">
        <f t="shared" si="16"/>
        <v>6.51098491961918</v>
      </c>
      <c r="W69">
        <f t="shared" si="17"/>
        <v>1.15358659440091</v>
      </c>
      <c r="X69">
        <f t="shared" si="12"/>
        <v>0</v>
      </c>
      <c r="Y69">
        <f t="shared" si="13"/>
        <v>0</v>
      </c>
      <c r="Z69">
        <f t="shared" si="14"/>
        <v>0.080256</v>
      </c>
      <c r="AA69">
        <f ca="1" t="shared" si="18"/>
        <v>1680.34303142392</v>
      </c>
      <c r="AB69">
        <f ca="1" t="shared" si="15"/>
        <v>0</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0</v>
      </c>
      <c r="V70">
        <f t="shared" si="16"/>
        <v>6.51098491961918</v>
      </c>
      <c r="W70">
        <f t="shared" si="17"/>
        <v>1.15358659440091</v>
      </c>
      <c r="X70">
        <f t="shared" si="12"/>
        <v>0</v>
      </c>
      <c r="Y70">
        <f t="shared" si="13"/>
        <v>0</v>
      </c>
      <c r="Z70">
        <f t="shared" si="14"/>
        <v>0.109375</v>
      </c>
      <c r="AA70">
        <f ca="1" t="shared" si="18"/>
        <v>1680.34303142392</v>
      </c>
      <c r="AB70">
        <f ca="1" t="shared" si="15"/>
        <v>0</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0.401541599019569</v>
      </c>
      <c r="V71">
        <f t="shared" si="16"/>
        <v>6.51098491961918</v>
      </c>
      <c r="W71">
        <f t="shared" si="17"/>
        <v>1.15358659440091</v>
      </c>
      <c r="X71">
        <f t="shared" si="12"/>
        <v>0.348081020504664</v>
      </c>
      <c r="Y71">
        <f t="shared" si="13"/>
        <v>0.226920623669096</v>
      </c>
      <c r="Z71">
        <f t="shared" si="14"/>
        <v>0.260695623669096</v>
      </c>
      <c r="AA71">
        <f ca="1" t="shared" si="18"/>
        <v>1680.34303142392</v>
      </c>
      <c r="AB71">
        <f ca="1" t="shared" si="15"/>
        <v>152.47970163144</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0.099924970275962</v>
      </c>
      <c r="V72">
        <f t="shared" si="16"/>
        <v>6.51098491961918</v>
      </c>
      <c r="W72">
        <f t="shared" si="17"/>
        <v>1.15358659440091</v>
      </c>
      <c r="X72">
        <f t="shared" si="12"/>
        <v>0.0866211264598266</v>
      </c>
      <c r="Y72">
        <f t="shared" si="13"/>
        <v>0.0791179069106573</v>
      </c>
      <c r="Z72">
        <f t="shared" si="14"/>
        <v>0.126617906910657</v>
      </c>
      <c r="AA72">
        <f ca="1" t="shared" si="18"/>
        <v>1680.34303142392</v>
      </c>
      <c r="AB72">
        <f ca="1" t="shared" si="15"/>
        <v>18.4296423158205</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0.0109119368464233</v>
      </c>
      <c r="V73">
        <f t="shared" si="16"/>
        <v>6.51098491961918</v>
      </c>
      <c r="W73">
        <f t="shared" si="17"/>
        <v>1.15358659440091</v>
      </c>
      <c r="X73">
        <f t="shared" si="12"/>
        <v>0.0094591397814311</v>
      </c>
      <c r="Y73">
        <f t="shared" si="13"/>
        <v>0.00936966445602645</v>
      </c>
      <c r="Z73">
        <f t="shared" si="14"/>
        <v>0.0896256644560264</v>
      </c>
      <c r="AA73">
        <f ca="1" t="shared" si="18"/>
        <v>1680.34303142392</v>
      </c>
      <c r="AB73">
        <f ca="1" t="shared" si="15"/>
        <v>1.42456405175621</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0.0152494027356699</v>
      </c>
      <c r="V74">
        <f t="shared" si="16"/>
        <v>6.51098491961918</v>
      </c>
      <c r="W74">
        <f t="shared" si="17"/>
        <v>1.15358659440091</v>
      </c>
      <c r="X74">
        <f t="shared" si="12"/>
        <v>0.0132191226993144</v>
      </c>
      <c r="Y74">
        <f t="shared" si="13"/>
        <v>0.0130443774943749</v>
      </c>
      <c r="Z74">
        <f t="shared" si="14"/>
        <v>0.122419377494375</v>
      </c>
      <c r="AA74">
        <f ca="1" t="shared" si="18"/>
        <v>1680.34303142392</v>
      </c>
      <c r="AB74">
        <f ca="1" t="shared" si="15"/>
        <v>2.71926009653004</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0.127442818441437</v>
      </c>
      <c r="V75">
        <f t="shared" si="16"/>
        <v>6.51098491961918</v>
      </c>
      <c r="W75">
        <f t="shared" si="17"/>
        <v>1.15358659440091</v>
      </c>
      <c r="X75">
        <f t="shared" si="12"/>
        <v>0.110475294234518</v>
      </c>
      <c r="Y75">
        <f t="shared" si="13"/>
        <v>0.0982705035983149</v>
      </c>
      <c r="Z75">
        <f t="shared" si="14"/>
        <v>0.121694503598315</v>
      </c>
      <c r="AA75">
        <f ca="1" t="shared" si="18"/>
        <v>1680.34303142392</v>
      </c>
      <c r="AB75">
        <f ca="1" t="shared" si="15"/>
        <v>22.5909284295858</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0.00983600579617872</v>
      </c>
      <c r="V76">
        <f t="shared" si="16"/>
        <v>6.51098491961918</v>
      </c>
      <c r="W76">
        <f t="shared" si="17"/>
        <v>1.15358659440091</v>
      </c>
      <c r="X76">
        <f t="shared" si="12"/>
        <v>0.00852645639600798</v>
      </c>
      <c r="Y76">
        <f t="shared" si="13"/>
        <v>0.00845375593733496</v>
      </c>
      <c r="Z76">
        <f t="shared" si="14"/>
        <v>0.042228755937335</v>
      </c>
      <c r="AA76">
        <f ca="1" t="shared" si="18"/>
        <v>1680.34303142392</v>
      </c>
      <c r="AB76">
        <f ca="1" t="shared" si="15"/>
        <v>0.605027078003528</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0.07102554177458</v>
      </c>
      <c r="V77">
        <f t="shared" si="16"/>
        <v>6.51098491961918</v>
      </c>
      <c r="W77">
        <f t="shared" si="17"/>
        <v>1.15358659440091</v>
      </c>
      <c r="X77">
        <f t="shared" si="12"/>
        <v>0.0615693196499613</v>
      </c>
      <c r="Y77">
        <f t="shared" si="13"/>
        <v>0.0577785385278022</v>
      </c>
      <c r="Z77">
        <f t="shared" si="14"/>
        <v>0.150962538527802</v>
      </c>
      <c r="AA77">
        <f ca="1" t="shared" si="18"/>
        <v>1680.34303142392</v>
      </c>
      <c r="AB77">
        <f ca="1" t="shared" si="15"/>
        <v>15.6182184875692</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0</v>
      </c>
      <c r="V78">
        <f t="shared" si="16"/>
        <v>6.51098491961918</v>
      </c>
      <c r="W78">
        <f t="shared" si="17"/>
        <v>1.15358659440091</v>
      </c>
      <c r="X78">
        <f t="shared" si="12"/>
        <v>0</v>
      </c>
      <c r="Y78">
        <f t="shared" si="13"/>
        <v>0</v>
      </c>
      <c r="Z78">
        <f t="shared" si="14"/>
        <v>0.034704</v>
      </c>
      <c r="AA78">
        <f ca="1" t="shared" si="18"/>
        <v>1680.34303142392</v>
      </c>
      <c r="AB78">
        <f ca="1" t="shared" si="15"/>
        <v>0</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0</v>
      </c>
      <c r="V79">
        <f t="shared" si="16"/>
        <v>6.51098491961918</v>
      </c>
      <c r="W79">
        <f t="shared" si="17"/>
        <v>1.15358659440091</v>
      </c>
      <c r="X79">
        <f t="shared" si="12"/>
        <v>0</v>
      </c>
      <c r="Y79">
        <f t="shared" si="13"/>
        <v>0</v>
      </c>
      <c r="Z79">
        <f t="shared" si="14"/>
        <v>0.040236</v>
      </c>
      <c r="AA79">
        <f ca="1" t="shared" si="18"/>
        <v>1680.34303142392</v>
      </c>
      <c r="AB79">
        <f ca="1" t="shared" si="15"/>
        <v>0</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0.00377221134653968</v>
      </c>
      <c r="V80">
        <f t="shared" si="16"/>
        <v>6.51098491961918</v>
      </c>
      <c r="W80">
        <f t="shared" si="17"/>
        <v>1.15358659440091</v>
      </c>
      <c r="X80">
        <f t="shared" si="12"/>
        <v>0.00326998542185616</v>
      </c>
      <c r="Y80">
        <f t="shared" si="13"/>
        <v>0.00325929261719701</v>
      </c>
      <c r="Z80">
        <f t="shared" si="14"/>
        <v>0.086795292617197</v>
      </c>
      <c r="AA80">
        <f ca="1" t="shared" si="18"/>
        <v>1680.34303142392</v>
      </c>
      <c r="AB80">
        <f ca="1" t="shared" si="15"/>
        <v>0.476913852746742</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0</v>
      </c>
      <c r="V81">
        <f t="shared" si="16"/>
        <v>6.51098491961918</v>
      </c>
      <c r="W81">
        <f t="shared" si="17"/>
        <v>1.15358659440091</v>
      </c>
      <c r="X81">
        <f t="shared" si="12"/>
        <v>0</v>
      </c>
      <c r="Y81">
        <f t="shared" si="13"/>
        <v>0</v>
      </c>
      <c r="Z81">
        <f t="shared" si="14"/>
        <v>0.066816</v>
      </c>
      <c r="AA81">
        <f ca="1" t="shared" si="18"/>
        <v>1680.34303142392</v>
      </c>
      <c r="AB81">
        <f ca="1" t="shared" si="15"/>
        <v>0</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0.00771130908900866</v>
      </c>
      <c r="V82">
        <f t="shared" si="16"/>
        <v>6.51098491961918</v>
      </c>
      <c r="W82">
        <f t="shared" si="17"/>
        <v>1.15358659440091</v>
      </c>
      <c r="X82">
        <f t="shared" si="12"/>
        <v>0.00668463826334021</v>
      </c>
      <c r="Y82">
        <f t="shared" si="13"/>
        <v>0.0066399538746285</v>
      </c>
      <c r="Z82">
        <f t="shared" si="14"/>
        <v>0.0868959538746285</v>
      </c>
      <c r="AA82">
        <f ca="1" t="shared" si="18"/>
        <v>1680.34303142392</v>
      </c>
      <c r="AB82">
        <f ca="1" t="shared" si="15"/>
        <v>0.976057526559037</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0</v>
      </c>
      <c r="V83">
        <f t="shared" si="16"/>
        <v>6.51098491961918</v>
      </c>
      <c r="W83">
        <f t="shared" si="17"/>
        <v>1.15358659440091</v>
      </c>
      <c r="X83">
        <f t="shared" si="12"/>
        <v>0</v>
      </c>
      <c r="Y83">
        <f t="shared" si="13"/>
        <v>0</v>
      </c>
      <c r="Z83">
        <f t="shared" si="14"/>
        <v>0.096336</v>
      </c>
      <c r="AA83">
        <f ca="1" t="shared" si="18"/>
        <v>1680.34303142392</v>
      </c>
      <c r="AB83">
        <f ca="1" t="shared" si="15"/>
        <v>0</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0</v>
      </c>
      <c r="V84">
        <f t="shared" si="16"/>
        <v>6.51098491961918</v>
      </c>
      <c r="W84">
        <f t="shared" si="17"/>
        <v>1.15358659440091</v>
      </c>
      <c r="X84">
        <f t="shared" si="12"/>
        <v>0</v>
      </c>
      <c r="Y84">
        <f t="shared" si="13"/>
        <v>0</v>
      </c>
      <c r="Z84">
        <f t="shared" si="14"/>
        <v>0.031911</v>
      </c>
      <c r="AA84">
        <f ca="1" t="shared" si="18"/>
        <v>1680.34303142392</v>
      </c>
      <c r="AB84">
        <f ca="1" t="shared" si="15"/>
        <v>0</v>
      </c>
    </row>
    <row r="85" spans="2:28">
      <c r="B85">
        <v>25</v>
      </c>
      <c r="C85">
        <f t="shared" si="19"/>
        <v>0.25</v>
      </c>
      <c r="D85">
        <f t="shared" si="20"/>
        <v>0.0182435843048765</v>
      </c>
      <c r="E85">
        <f t="shared" si="21"/>
        <v>0.000774026877627722</v>
      </c>
      <c r="U85">
        <f>SUM(U59:U84)</f>
        <v>1.15358659440091</v>
      </c>
      <c r="AB85">
        <f ca="1">SUM(AB59:AB84)</f>
        <v>334.623548031823</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5">
      <c r="B93">
        <v>33</v>
      </c>
      <c r="C93">
        <f t="shared" si="19"/>
        <v>0.33</v>
      </c>
      <c r="D93">
        <f t="shared" si="20"/>
        <v>0.0560348361177683</v>
      </c>
      <c r="E93">
        <f t="shared" si="21"/>
        <v>0.00237740942315945</v>
      </c>
    </row>
    <row r="94" spans="2:5">
      <c r="B94">
        <v>34</v>
      </c>
      <c r="C94">
        <f t="shared" ref="C94:C125" si="22">B94/100</f>
        <v>0.34</v>
      </c>
      <c r="D94">
        <f t="shared" ref="D94:D125" si="23">(1/(2*PI())^0.5)*EXP(-((3-3*C94)^2))+D93</f>
        <v>0.0639471221532668</v>
      </c>
      <c r="E94">
        <f t="shared" ref="E94:E125" si="24">D94/23.5697038852067</f>
        <v>0.00271310672652967</v>
      </c>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5">
      <c r="B98">
        <v>38</v>
      </c>
      <c r="C98">
        <f t="shared" si="22"/>
        <v>0.38</v>
      </c>
      <c r="D98">
        <f t="shared" si="23"/>
        <v>0.106600476057905</v>
      </c>
      <c r="E98">
        <f t="shared" si="24"/>
        <v>0.00452277536353828</v>
      </c>
    </row>
    <row r="99" spans="2:5">
      <c r="B99">
        <v>39</v>
      </c>
      <c r="C99">
        <f t="shared" si="22"/>
        <v>0.39</v>
      </c>
      <c r="D99">
        <f t="shared" si="23"/>
        <v>0.120612513055831</v>
      </c>
      <c r="E99">
        <f t="shared" si="24"/>
        <v>0.00511726891620102</v>
      </c>
    </row>
    <row r="100" spans="2:5">
      <c r="B100">
        <v>40</v>
      </c>
      <c r="C100">
        <f t="shared" si="22"/>
        <v>0.4</v>
      </c>
      <c r="D100">
        <f t="shared" si="23"/>
        <v>0.136236646676023</v>
      </c>
      <c r="E100">
        <f t="shared" si="24"/>
        <v>0.00578015945128316</v>
      </c>
    </row>
    <row r="101" spans="2:5">
      <c r="B101">
        <v>41</v>
      </c>
      <c r="C101">
        <f t="shared" si="22"/>
        <v>0.41</v>
      </c>
      <c r="D101">
        <f t="shared" si="23"/>
        <v>0.153627019128793</v>
      </c>
      <c r="E101">
        <f t="shared" si="24"/>
        <v>0.00651798681379345</v>
      </c>
    </row>
    <row r="102" spans="2:5">
      <c r="B102">
        <v>42</v>
      </c>
      <c r="C102">
        <f t="shared" si="22"/>
        <v>0.42</v>
      </c>
      <c r="D102">
        <f t="shared" si="23"/>
        <v>0.172948485900776</v>
      </c>
      <c r="E102">
        <f t="shared" si="24"/>
        <v>0.00733774538463019</v>
      </c>
    </row>
    <row r="103" spans="2:5">
      <c r="B103">
        <v>43</v>
      </c>
      <c r="C103">
        <f t="shared" si="22"/>
        <v>0.43</v>
      </c>
      <c r="D103">
        <f t="shared" si="23"/>
        <v>0.194376877345886</v>
      </c>
      <c r="E103">
        <f t="shared" si="24"/>
        <v>0.00824689517919164</v>
      </c>
    </row>
    <row r="104" spans="2:5">
      <c r="B104">
        <v>44</v>
      </c>
      <c r="C104">
        <f t="shared" si="22"/>
        <v>0.44</v>
      </c>
      <c r="D104">
        <f t="shared" si="23"/>
        <v>0.218099206091681</v>
      </c>
      <c r="E104">
        <f t="shared" si="24"/>
        <v>0.00925337064707755</v>
      </c>
    </row>
    <row r="105" spans="2:5">
      <c r="B105">
        <v>45</v>
      </c>
      <c r="C105">
        <f t="shared" si="22"/>
        <v>0.45</v>
      </c>
      <c r="D105">
        <f t="shared" si="23"/>
        <v>0.244313812338863</v>
      </c>
      <c r="E105">
        <f t="shared" si="24"/>
        <v>0.0103655868367614</v>
      </c>
    </row>
    <row r="106" spans="2:5">
      <c r="B106">
        <v>46</v>
      </c>
      <c r="C106">
        <f t="shared" si="22"/>
        <v>0.46</v>
      </c>
      <c r="D106">
        <f t="shared" si="23"/>
        <v>0.273230438973862</v>
      </c>
      <c r="E106">
        <f t="shared" si="24"/>
        <v>0.0115924425824184</v>
      </c>
    </row>
    <row r="107" spans="2:5">
      <c r="B107">
        <v>47</v>
      </c>
      <c r="C107">
        <f t="shared" si="22"/>
        <v>0.47</v>
      </c>
      <c r="D107">
        <f t="shared" si="23"/>
        <v>0.305070228346631</v>
      </c>
      <c r="E107">
        <f t="shared" si="24"/>
        <v>0.0129433203672154</v>
      </c>
    </row>
    <row r="108" spans="2:5">
      <c r="B108">
        <v>48</v>
      </c>
      <c r="C108">
        <f t="shared" si="22"/>
        <v>0.48</v>
      </c>
      <c r="D108">
        <f t="shared" si="23"/>
        <v>0.340065632598466</v>
      </c>
      <c r="E108">
        <f t="shared" si="24"/>
        <v>0.0144280825187586</v>
      </c>
    </row>
    <row r="109" spans="2:5">
      <c r="B109">
        <v>49</v>
      </c>
      <c r="C109">
        <f t="shared" si="22"/>
        <v>0.49</v>
      </c>
      <c r="D109">
        <f t="shared" si="23"/>
        <v>0.378460229568073</v>
      </c>
      <c r="E109">
        <f t="shared" si="24"/>
        <v>0.0160570633984761</v>
      </c>
    </row>
    <row r="110" spans="2:5">
      <c r="B110">
        <v>50</v>
      </c>
      <c r="C110">
        <f t="shared" si="22"/>
        <v>0.5</v>
      </c>
      <c r="D110">
        <f t="shared" si="23"/>
        <v>0.420508436567326</v>
      </c>
      <c r="E110">
        <f t="shared" si="24"/>
        <v>0.0178410572578832</v>
      </c>
    </row>
    <row r="111" spans="2:5">
      <c r="B111">
        <v>51</v>
      </c>
      <c r="C111">
        <f t="shared" si="22"/>
        <v>0.51</v>
      </c>
      <c r="D111">
        <f t="shared" si="23"/>
        <v>0.466475114709403</v>
      </c>
      <c r="E111">
        <f t="shared" si="24"/>
        <v>0.0197913014512746</v>
      </c>
    </row>
    <row r="112" spans="2:5">
      <c r="B112">
        <v>52</v>
      </c>
      <c r="C112">
        <f t="shared" si="22"/>
        <v>0.52</v>
      </c>
      <c r="D112">
        <f t="shared" si="23"/>
        <v>0.516635056997989</v>
      </c>
      <c r="E112">
        <f t="shared" si="24"/>
        <v>0.0219194547167073</v>
      </c>
    </row>
    <row r="113" spans="2:5">
      <c r="B113">
        <v>53</v>
      </c>
      <c r="C113">
        <f t="shared" si="22"/>
        <v>0.53</v>
      </c>
      <c r="D113">
        <f t="shared" si="23"/>
        <v>0.571272354052182</v>
      </c>
      <c r="E113">
        <f t="shared" si="24"/>
        <v>0.0242375702653921</v>
      </c>
    </row>
    <row r="114" spans="2:5">
      <c r="B114">
        <v>54</v>
      </c>
      <c r="C114">
        <f t="shared" si="22"/>
        <v>0.54</v>
      </c>
      <c r="D114">
        <f t="shared" si="23"/>
        <v>0.630679632150913</v>
      </c>
      <c r="E114">
        <f t="shared" si="24"/>
        <v>0.026758063453939</v>
      </c>
    </row>
    <row r="115" spans="2:5">
      <c r="B115">
        <v>55</v>
      </c>
      <c r="C115">
        <f t="shared" si="22"/>
        <v>0.55</v>
      </c>
      <c r="D115">
        <f t="shared" si="23"/>
        <v>0.695157159234235</v>
      </c>
      <c r="E115">
        <f t="shared" si="24"/>
        <v>0.0294936738543645</v>
      </c>
    </row>
    <row r="116" spans="2:5">
      <c r="B116">
        <v>56</v>
      </c>
      <c r="C116">
        <f t="shared" si="22"/>
        <v>0.56</v>
      </c>
      <c r="D116">
        <f t="shared" si="23"/>
        <v>0.765011815595633</v>
      </c>
      <c r="E116">
        <f t="shared" si="24"/>
        <v>0.0324574215832973</v>
      </c>
    </row>
    <row r="117" spans="2:5">
      <c r="B117">
        <v>57</v>
      </c>
      <c r="C117">
        <f t="shared" si="22"/>
        <v>0.57</v>
      </c>
      <c r="D117">
        <f t="shared" si="23"/>
        <v>0.8405559272359</v>
      </c>
      <c r="E117">
        <f t="shared" si="24"/>
        <v>0.035662557804278</v>
      </c>
    </row>
    <row r="118" spans="2:5">
      <c r="B118">
        <v>58</v>
      </c>
      <c r="C118">
        <f t="shared" si="22"/>
        <v>0.58</v>
      </c>
      <c r="D118">
        <f t="shared" si="23"/>
        <v>0.922105961218644</v>
      </c>
      <c r="E118">
        <f t="shared" si="24"/>
        <v>0.0391225093751557</v>
      </c>
    </row>
    <row r="119" spans="2:5">
      <c r="B119">
        <v>59</v>
      </c>
      <c r="C119">
        <f t="shared" si="22"/>
        <v>0.59</v>
      </c>
      <c r="D119">
        <f t="shared" si="23"/>
        <v>1.00998108386118</v>
      </c>
      <c r="E119">
        <f t="shared" si="24"/>
        <v>0.0428508176759523</v>
      </c>
    </row>
    <row r="120" spans="2:5">
      <c r="B120">
        <v>60</v>
      </c>
      <c r="C120">
        <f t="shared" si="22"/>
        <v>0.6</v>
      </c>
      <c r="D120">
        <f t="shared" si="23"/>
        <v>1.10450158420022</v>
      </c>
      <c r="E120">
        <f t="shared" si="24"/>
        <v>0.0468610717206954</v>
      </c>
    </row>
    <row r="121" spans="2:5">
      <c r="B121">
        <v>61</v>
      </c>
      <c r="C121">
        <f t="shared" si="22"/>
        <v>0.61</v>
      </c>
      <c r="D121">
        <f t="shared" si="23"/>
        <v>1.20598716687476</v>
      </c>
      <c r="E121">
        <f t="shared" si="24"/>
        <v>0.0511668357289669</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6">
    <mergeCell ref="F1:G1"/>
    <mergeCell ref="H1:I1"/>
    <mergeCell ref="J1:K1"/>
    <mergeCell ref="L1:M1"/>
    <mergeCell ref="N1:Q1"/>
    <mergeCell ref="R1:V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76"/>
  <sheetViews>
    <sheetView topLeftCell="R1" workbookViewId="0">
      <selection activeCell="M1" sqref="M1"/>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0.4444444444444"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2.8888888888889"/>
    <col min="16" max="16" width="12.2222222222222" customWidth="1"/>
    <col min="17" max="17" width="13.5555555555556" customWidth="1"/>
    <col min="18" max="18" width="15.7777777777778"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s>
  <sheetData>
    <row r="1" ht="15.15" spans="1:34">
      <c r="A1" s="31"/>
      <c r="B1" s="32"/>
      <c r="C1" s="32" t="s">
        <v>246</v>
      </c>
      <c r="D1" t="s">
        <v>247</v>
      </c>
      <c r="G1" t="s">
        <v>102</v>
      </c>
      <c r="H1" t="s">
        <v>248</v>
      </c>
      <c r="I1" t="s">
        <v>249</v>
      </c>
      <c r="K1" t="s">
        <v>250</v>
      </c>
      <c r="L1" t="s">
        <v>251</v>
      </c>
      <c r="M1" t="s">
        <v>252</v>
      </c>
      <c r="N1" t="s">
        <v>253</v>
      </c>
      <c r="O1" t="s">
        <v>254</v>
      </c>
      <c r="P1" t="s">
        <v>255</v>
      </c>
      <c r="Q1" t="s">
        <v>256</v>
      </c>
      <c r="R1" t="s">
        <v>257</v>
      </c>
      <c r="S1" t="s">
        <v>258</v>
      </c>
      <c r="T1" t="s">
        <v>259</v>
      </c>
      <c r="U1" t="s">
        <v>260</v>
      </c>
      <c r="V1" t="s">
        <v>261</v>
      </c>
      <c r="W1" t="s">
        <v>262</v>
      </c>
      <c r="X1" t="s">
        <v>263</v>
      </c>
      <c r="Y1" t="s">
        <v>264</v>
      </c>
      <c r="Z1" t="s">
        <v>265</v>
      </c>
      <c r="AA1" t="s">
        <v>266</v>
      </c>
      <c r="AB1" t="s">
        <v>267</v>
      </c>
      <c r="AC1" t="s">
        <v>268</v>
      </c>
      <c r="AD1" t="s">
        <v>269</v>
      </c>
      <c r="AE1" t="s">
        <v>270</v>
      </c>
      <c r="AF1" t="s">
        <v>271</v>
      </c>
      <c r="AG1" t="s">
        <v>272</v>
      </c>
      <c r="AH1" t="s">
        <v>273</v>
      </c>
    </row>
    <row r="2" ht="15.6" spans="1:34">
      <c r="A2" s="33" t="s">
        <v>183</v>
      </c>
      <c r="B2" s="14">
        <v>1</v>
      </c>
      <c r="C2" s="34">
        <v>3995</v>
      </c>
      <c r="D2">
        <f>C2/36666.67</f>
        <v>0.108954535549588</v>
      </c>
      <c r="E2" s="33" t="s">
        <v>183</v>
      </c>
      <c r="F2" s="14">
        <v>1</v>
      </c>
      <c r="G2">
        <f>数据表!H3</f>
        <v>18</v>
      </c>
      <c r="H2">
        <f>D2</f>
        <v>0.108954535549588</v>
      </c>
      <c r="I2">
        <f>H2/3</f>
        <v>0.0363181785165292</v>
      </c>
      <c r="J2">
        <f>H2*3+I2*2</f>
        <v>0.399499963681822</v>
      </c>
      <c r="K2">
        <f>J2/K29</f>
        <v>0.0110961786609742</v>
      </c>
      <c r="L2">
        <f>VLOOKUP(G2,A32:E57,4,0)</f>
        <v>8.21463739904665</v>
      </c>
      <c r="M2">
        <f>VLOOKUP(G2,A32:E57,5,0)</f>
        <v>3.45884615589461</v>
      </c>
      <c r="N2">
        <f>H2*(1-H2)*(1-I2)^2*2+(1-H2)^2*I2*(1-I2)*2</f>
        <v>0.235895442948329</v>
      </c>
      <c r="O2">
        <f>H2*(1-H2)^2*(1-I2)*3+(1-H2)^3*I2</f>
        <v>0.275785616686259</v>
      </c>
      <c r="P2">
        <f>L2*(1-N2)</f>
        <v>6.27684187113863</v>
      </c>
      <c r="Q2">
        <f>M2*(1-O2)</f>
        <v>2.50494613576832</v>
      </c>
      <c r="R2">
        <f>H2*P2*3+I2*Q2*2</f>
        <v>2.2336213342306</v>
      </c>
      <c r="S2">
        <f>'倾向-优先级表'!H14</f>
        <v>11</v>
      </c>
      <c r="T2">
        <f>IF(S2&gt;=G2,1,0)*R2</f>
        <v>0</v>
      </c>
      <c r="U2">
        <f>T2/T28*100</f>
        <v>0</v>
      </c>
      <c r="V2">
        <f>R2-T2</f>
        <v>2.2336213342306</v>
      </c>
      <c r="W2">
        <f>V2/V28</f>
        <v>0.267112994384806</v>
      </c>
      <c r="X2">
        <f>数据表!N3</f>
        <v>2.8</v>
      </c>
      <c r="Y2">
        <f>数据表!O3</f>
        <v>0.71</v>
      </c>
      <c r="Z2">
        <f>数据表!Q3</f>
        <v>0</v>
      </c>
      <c r="AA2">
        <f>数据表!R3</f>
        <v>5775</v>
      </c>
      <c r="AB2">
        <f>Q61</f>
        <v>5.76639930772806e-5</v>
      </c>
      <c r="AC2">
        <f>R61</f>
        <v>0.000226049506367498</v>
      </c>
      <c r="AD2">
        <f>S61</f>
        <v>1.96612252438871e-5</v>
      </c>
      <c r="AE2">
        <f>(X2-AB2*AA2)*AC2</f>
        <v>0.000557661971170523</v>
      </c>
      <c r="AF2">
        <f>(Y2-AA2*AC2)*W2</f>
        <v>-0.159048666018834</v>
      </c>
      <c r="AG2">
        <f>(Z2-AD2*AA2)*W2</f>
        <v>-0.0303289645206749</v>
      </c>
      <c r="AH2">
        <f>V33*W2</f>
        <v>0.333891242981008</v>
      </c>
    </row>
    <row r="3" ht="15.6" spans="1:34">
      <c r="A3" s="7" t="s">
        <v>183</v>
      </c>
      <c r="B3" s="8">
        <v>2</v>
      </c>
      <c r="C3" s="35">
        <v>2649</v>
      </c>
      <c r="D3">
        <f t="shared" ref="D3:D27" si="0">C3/36666.67</f>
        <v>0.0722454479776865</v>
      </c>
      <c r="E3" s="7" t="s">
        <v>183</v>
      </c>
      <c r="F3" s="8">
        <v>2</v>
      </c>
      <c r="G3">
        <f>数据表!H4</f>
        <v>22</v>
      </c>
      <c r="H3">
        <f t="shared" ref="H3:H27" si="1">D3</f>
        <v>0.0722454479776865</v>
      </c>
      <c r="I3">
        <f t="shared" ref="I3:I27" si="2">H3/3</f>
        <v>0.0240818159925622</v>
      </c>
      <c r="J3">
        <f t="shared" ref="J3:J27" si="3">H3*3+I3*2</f>
        <v>0.264899975918184</v>
      </c>
      <c r="K3">
        <f>J3/K29</f>
        <v>0.00735764136994257</v>
      </c>
      <c r="L3">
        <f>VLOOKUP(G3,A32:E57,4,0)</f>
        <v>2.88994491368024</v>
      </c>
      <c r="M3">
        <f>VLOOKUP(G3,A32:E57,5,0)</f>
        <v>0.803930227407662</v>
      </c>
      <c r="N3">
        <f t="shared" ref="N3:N27" si="4">H3*(1-H3)*(1-I3)^2*2+(1-H3)^2*I3*(1-I3)*2</f>
        <v>0.168130872355216</v>
      </c>
      <c r="O3">
        <f t="shared" ref="O3:O27" si="5">H3*(1-H3)^2*(1-I3)*3+(1-H3)^3*I3</f>
        <v>0.201289068390567</v>
      </c>
      <c r="P3">
        <f t="shared" ref="P3:P27" si="6">L3*(1-N3)</f>
        <v>2.40405595428467</v>
      </c>
      <c r="Q3">
        <f t="shared" ref="Q3:Q27" si="7">M3*(1-O3)</f>
        <v>0.642107860881757</v>
      </c>
      <c r="R3">
        <f t="shared" ref="R3:R27" si="8">H3*P3*3+I3*Q3*2</f>
        <v>0.551972544848425</v>
      </c>
      <c r="S3">
        <f>'倾向-优先级表'!H14</f>
        <v>11</v>
      </c>
      <c r="T3">
        <f t="shared" ref="T3:T27" si="9">IF(S3&gt;=G3,1,0)*R3</f>
        <v>0</v>
      </c>
      <c r="U3">
        <f>T3/T28*100</f>
        <v>0</v>
      </c>
      <c r="V3">
        <f t="shared" ref="V3:V27" si="10">R3-T3</f>
        <v>0.551972544848425</v>
      </c>
      <c r="W3">
        <f>V3/V28</f>
        <v>0.0660089680435705</v>
      </c>
      <c r="X3">
        <f>数据表!N4</f>
        <v>1.96</v>
      </c>
      <c r="Y3">
        <f>数据表!O4</f>
        <v>0.54</v>
      </c>
      <c r="Z3">
        <f>数据表!Q4</f>
        <v>0</v>
      </c>
      <c r="AA3">
        <f>数据表!R4</f>
        <v>11175</v>
      </c>
      <c r="AB3">
        <f>Q61</f>
        <v>5.76639930772806e-5</v>
      </c>
      <c r="AC3">
        <f>R61</f>
        <v>0.000226049506367498</v>
      </c>
      <c r="AD3">
        <f>S61</f>
        <v>1.96612252438871e-5</v>
      </c>
      <c r="AE3">
        <f>(X3-AB3*AA3)*W3</f>
        <v>0.0868417203077134</v>
      </c>
      <c r="AF3">
        <f t="shared" ref="AF3:AF27" si="11">(Y3-AA3*AC3)*W3</f>
        <v>-0.131100624881683</v>
      </c>
      <c r="AG3">
        <f t="shared" ref="AG3:AG27" si="12">(Z3-AD3*AA3)*W3</f>
        <v>-0.0145031070850767</v>
      </c>
      <c r="AH3">
        <f t="shared" ref="AH3:AH27" si="13">V34*W3</f>
        <v>0.148520178098034</v>
      </c>
    </row>
    <row r="4" ht="15.6" spans="1:34">
      <c r="A4" s="9" t="s">
        <v>183</v>
      </c>
      <c r="B4" s="10">
        <v>4</v>
      </c>
      <c r="C4" s="35">
        <v>591</v>
      </c>
      <c r="D4">
        <f t="shared" si="0"/>
        <v>0.0161181803528927</v>
      </c>
      <c r="E4" s="9" t="s">
        <v>183</v>
      </c>
      <c r="F4" s="10">
        <v>4</v>
      </c>
      <c r="G4">
        <f>数据表!H5</f>
        <v>25</v>
      </c>
      <c r="H4">
        <f t="shared" si="1"/>
        <v>0.0161181803528927</v>
      </c>
      <c r="I4">
        <f t="shared" si="2"/>
        <v>0.00537272678429757</v>
      </c>
      <c r="J4">
        <f t="shared" si="3"/>
        <v>0.0590999946272732</v>
      </c>
      <c r="K4">
        <f>J4/K29</f>
        <v>0.00164151228751833</v>
      </c>
      <c r="L4">
        <f>VLOOKUP(G4,A32:E57,4,0)</f>
        <v>0.214234838931303</v>
      </c>
      <c r="M4">
        <f>VLOOKUP(G4,A32:E57,5,0)</f>
        <v>0.0185887852788738</v>
      </c>
      <c r="N4">
        <f t="shared" si="4"/>
        <v>0.0417228382729368</v>
      </c>
      <c r="O4">
        <f t="shared" si="5"/>
        <v>0.0516739365554506</v>
      </c>
      <c r="P4">
        <f t="shared" si="6"/>
        <v>0.205296353394144</v>
      </c>
      <c r="Q4">
        <f t="shared" si="7"/>
        <v>0.0176282295677304</v>
      </c>
      <c r="R4">
        <f t="shared" si="8"/>
        <v>0.0101164342717106</v>
      </c>
      <c r="S4">
        <f>'倾向-优先级表'!H14</f>
        <v>11</v>
      </c>
      <c r="T4">
        <f t="shared" si="9"/>
        <v>0</v>
      </c>
      <c r="U4">
        <f>T4/T28*100</f>
        <v>0</v>
      </c>
      <c r="V4">
        <f t="shared" si="10"/>
        <v>0.0101164342717106</v>
      </c>
      <c r="W4">
        <f>V4/V28</f>
        <v>0.00120979819157419</v>
      </c>
      <c r="X4">
        <f>数据表!N5</f>
        <v>1.395</v>
      </c>
      <c r="Y4">
        <f>数据表!O5</f>
        <v>0.31</v>
      </c>
      <c r="Z4">
        <f>数据表!Q5</f>
        <v>0</v>
      </c>
      <c r="AA4">
        <f>数据表!R5</f>
        <v>19375</v>
      </c>
      <c r="AB4">
        <f>Q61</f>
        <v>5.76639930772806e-5</v>
      </c>
      <c r="AC4">
        <f>R61</f>
        <v>0.000226049506367498</v>
      </c>
      <c r="AD4">
        <f>S61</f>
        <v>1.96612252438871e-5</v>
      </c>
      <c r="AE4">
        <f t="shared" ref="AE3:AE27" si="14">(X4-AB4*AA4)*W4</f>
        <v>0.00033603370795908</v>
      </c>
      <c r="AF4">
        <f t="shared" si="11"/>
        <v>-0.00492352681329871</v>
      </c>
      <c r="AG4">
        <f t="shared" si="12"/>
        <v>-0.000460855973168629</v>
      </c>
      <c r="AH4">
        <f t="shared" si="13"/>
        <v>0.00514164231419029</v>
      </c>
    </row>
    <row r="5" ht="16.35" spans="1:34">
      <c r="A5" s="11" t="s">
        <v>187</v>
      </c>
      <c r="B5" s="12">
        <v>0.5</v>
      </c>
      <c r="C5" s="35">
        <v>44</v>
      </c>
      <c r="D5">
        <f t="shared" si="0"/>
        <v>0.0011999998909091</v>
      </c>
      <c r="E5" s="11" t="s">
        <v>187</v>
      </c>
      <c r="F5" s="12">
        <v>0.5</v>
      </c>
      <c r="G5">
        <f>数据表!H6</f>
        <v>13</v>
      </c>
      <c r="H5">
        <f t="shared" si="1"/>
        <v>0.0011999998909091</v>
      </c>
      <c r="I5">
        <f t="shared" si="2"/>
        <v>0.000399999963636367</v>
      </c>
      <c r="J5">
        <f t="shared" si="3"/>
        <v>0.00439999960000004</v>
      </c>
      <c r="K5">
        <f>J5/K29</f>
        <v>0.000122210728681568</v>
      </c>
      <c r="L5">
        <f>VLOOKUP(G5,A32:E57,4,0)</f>
        <v>11.9593363642186</v>
      </c>
      <c r="M5">
        <f>VLOOKUP(G5,A32:E57,5,0)</f>
        <v>5.82592051059295</v>
      </c>
      <c r="N5">
        <f t="shared" si="4"/>
        <v>0.00319296431744808</v>
      </c>
      <c r="O5">
        <f t="shared" si="5"/>
        <v>0.00398849000369059</v>
      </c>
      <c r="P5">
        <f t="shared" si="6"/>
        <v>11.9211506299473</v>
      </c>
      <c r="Q5">
        <f t="shared" si="7"/>
        <v>5.80268388487415</v>
      </c>
      <c r="R5">
        <f t="shared" si="8"/>
        <v>0.0475582850522291</v>
      </c>
      <c r="S5">
        <f>'倾向-优先级表'!H14</f>
        <v>11</v>
      </c>
      <c r="T5">
        <f t="shared" si="9"/>
        <v>0</v>
      </c>
      <c r="U5">
        <f>T5/T28*100</f>
        <v>0</v>
      </c>
      <c r="V5">
        <f t="shared" si="10"/>
        <v>0.0475582850522291</v>
      </c>
      <c r="W5">
        <f>V5/V28</f>
        <v>0.00568737222080795</v>
      </c>
      <c r="X5">
        <f>数据表!N6</f>
        <v>9.78</v>
      </c>
      <c r="Y5">
        <f>数据表!O6</f>
        <v>1.97</v>
      </c>
      <c r="Z5">
        <f>数据表!Q6</f>
        <v>0</v>
      </c>
      <c r="AA5">
        <f>数据表!R6</f>
        <v>7625</v>
      </c>
      <c r="AB5">
        <f>Q61</f>
        <v>5.76639930772806e-5</v>
      </c>
      <c r="AC5">
        <f>R61</f>
        <v>0.000226049506367498</v>
      </c>
      <c r="AD5">
        <f>S61</f>
        <v>1.96612252438871e-5</v>
      </c>
      <c r="AE5">
        <f t="shared" si="14"/>
        <v>0.0531218313026913</v>
      </c>
      <c r="AF5">
        <f t="shared" si="11"/>
        <v>0.0014012121917975</v>
      </c>
      <c r="AG5">
        <f t="shared" si="12"/>
        <v>-0.000852632885378377</v>
      </c>
      <c r="AH5">
        <f t="shared" si="13"/>
        <v>0.00426552916560597</v>
      </c>
    </row>
    <row r="6" ht="15.6" spans="1:34">
      <c r="A6" s="13" t="s">
        <v>189</v>
      </c>
      <c r="B6" s="14">
        <v>1</v>
      </c>
      <c r="C6" s="35">
        <v>3173</v>
      </c>
      <c r="D6">
        <f t="shared" si="0"/>
        <v>0.0865363557694222</v>
      </c>
      <c r="E6" s="13" t="s">
        <v>189</v>
      </c>
      <c r="F6" s="14">
        <v>1</v>
      </c>
      <c r="G6">
        <f>数据表!H7</f>
        <v>5</v>
      </c>
      <c r="H6">
        <f t="shared" si="1"/>
        <v>0.0865363557694222</v>
      </c>
      <c r="I6">
        <f t="shared" si="2"/>
        <v>0.0288454519231407</v>
      </c>
      <c r="J6">
        <f t="shared" si="3"/>
        <v>0.317299971154548</v>
      </c>
      <c r="K6">
        <f>J6/K29</f>
        <v>0.0088130600478776</v>
      </c>
      <c r="L6">
        <f>VLOOKUP(G6,A32:E57,4,0)</f>
        <v>69.2325965694092</v>
      </c>
      <c r="M6">
        <f>VLOOKUP(G6,A32:E57,5,0)</f>
        <v>60.5647594873305</v>
      </c>
      <c r="N6">
        <f t="shared" si="4"/>
        <v>0.195856130233443</v>
      </c>
      <c r="O6">
        <f t="shared" si="5"/>
        <v>0.232359607501556</v>
      </c>
      <c r="P6">
        <f t="shared" si="6"/>
        <v>55.6729681193115</v>
      </c>
      <c r="Q6">
        <f t="shared" si="7"/>
        <v>46.4919557444282</v>
      </c>
      <c r="R6">
        <f t="shared" si="8"/>
        <v>17.1353702762147</v>
      </c>
      <c r="S6">
        <f>'倾向-优先级表'!H14</f>
        <v>11</v>
      </c>
      <c r="T6">
        <f t="shared" si="9"/>
        <v>17.1353702762147</v>
      </c>
      <c r="U6">
        <f>T6/T28*100</f>
        <v>20.237906120359</v>
      </c>
      <c r="V6">
        <f t="shared" si="10"/>
        <v>0</v>
      </c>
      <c r="W6">
        <f>V6/V28</f>
        <v>0</v>
      </c>
      <c r="X6">
        <f>数据表!N7</f>
        <v>0</v>
      </c>
      <c r="Y6">
        <f>数据表!O7</f>
        <v>0</v>
      </c>
      <c r="Z6">
        <f>数据表!Q7</f>
        <v>0.052</v>
      </c>
      <c r="AA6">
        <f>数据表!R7</f>
        <v>1875</v>
      </c>
      <c r="AB6">
        <f>Q61</f>
        <v>5.76639930772806e-5</v>
      </c>
      <c r="AC6">
        <f>R61</f>
        <v>0.000226049506367498</v>
      </c>
      <c r="AD6">
        <f>S61</f>
        <v>1.96612252438871e-5</v>
      </c>
      <c r="AE6">
        <f t="shared" si="14"/>
        <v>0</v>
      </c>
      <c r="AF6">
        <f t="shared" si="11"/>
        <v>0</v>
      </c>
      <c r="AG6">
        <f t="shared" si="12"/>
        <v>0</v>
      </c>
      <c r="AH6">
        <f t="shared" si="13"/>
        <v>0</v>
      </c>
    </row>
    <row r="7" ht="15.6" spans="1:34">
      <c r="A7" s="15" t="s">
        <v>189</v>
      </c>
      <c r="B7" s="16">
        <v>2</v>
      </c>
      <c r="C7" s="35">
        <v>1588</v>
      </c>
      <c r="D7">
        <f t="shared" si="0"/>
        <v>0.0433090869719012</v>
      </c>
      <c r="E7" s="15" t="s">
        <v>189</v>
      </c>
      <c r="F7" s="16">
        <v>2</v>
      </c>
      <c r="G7">
        <f>数据表!H8</f>
        <v>7</v>
      </c>
      <c r="H7">
        <f t="shared" si="1"/>
        <v>0.0433090869719012</v>
      </c>
      <c r="I7">
        <f t="shared" si="2"/>
        <v>0.0144363623239671</v>
      </c>
      <c r="J7">
        <f t="shared" si="3"/>
        <v>0.158799985563638</v>
      </c>
      <c r="K7">
        <f>J7/K29</f>
        <v>0.00441069629878023</v>
      </c>
      <c r="L7">
        <f>VLOOKUP(G7,A32:E57,4,0)</f>
        <v>48.6521808392142</v>
      </c>
      <c r="M7">
        <f>VLOOKUP(G7,A32:E57,5,0)</f>
        <v>38.521113726624</v>
      </c>
      <c r="N7">
        <f t="shared" si="4"/>
        <v>0.10653598207248</v>
      </c>
      <c r="O7">
        <f t="shared" si="5"/>
        <v>0.129840919392942</v>
      </c>
      <c r="P7">
        <f t="shared" si="6"/>
        <v>43.4689729735406</v>
      </c>
      <c r="Q7">
        <f t="shared" si="7"/>
        <v>33.519496904319</v>
      </c>
      <c r="R7">
        <f t="shared" si="8"/>
        <v>6.61560379772656</v>
      </c>
      <c r="S7">
        <f>'倾向-优先级表'!H14</f>
        <v>11</v>
      </c>
      <c r="T7">
        <f t="shared" si="9"/>
        <v>6.61560379772656</v>
      </c>
      <c r="U7">
        <f>T7/T28*100</f>
        <v>7.81342722273852</v>
      </c>
      <c r="V7">
        <f t="shared" si="10"/>
        <v>0</v>
      </c>
      <c r="W7">
        <f>V7/V28</f>
        <v>0</v>
      </c>
      <c r="X7">
        <f>数据表!N8</f>
        <v>0</v>
      </c>
      <c r="Y7">
        <f>数据表!O8</f>
        <v>0</v>
      </c>
      <c r="Z7">
        <f>数据表!Q8</f>
        <v>0.047</v>
      </c>
      <c r="AA7">
        <f>数据表!R8</f>
        <v>3375</v>
      </c>
      <c r="AB7">
        <f>Q61</f>
        <v>5.76639930772806e-5</v>
      </c>
      <c r="AC7">
        <f>R61</f>
        <v>0.000226049506367498</v>
      </c>
      <c r="AD7">
        <f>S61</f>
        <v>1.96612252438871e-5</v>
      </c>
      <c r="AE7">
        <f t="shared" si="14"/>
        <v>0</v>
      </c>
      <c r="AF7">
        <f t="shared" si="11"/>
        <v>0</v>
      </c>
      <c r="AG7">
        <f t="shared" si="12"/>
        <v>0</v>
      </c>
      <c r="AH7">
        <f t="shared" si="13"/>
        <v>0</v>
      </c>
    </row>
    <row r="8" ht="15.6" spans="1:34">
      <c r="A8" s="7" t="s">
        <v>189</v>
      </c>
      <c r="B8" s="8">
        <v>4</v>
      </c>
      <c r="C8" s="35">
        <v>861</v>
      </c>
      <c r="D8">
        <f t="shared" si="0"/>
        <v>0.0234818160471076</v>
      </c>
      <c r="E8" s="7" t="s">
        <v>189</v>
      </c>
      <c r="F8" s="8">
        <v>4</v>
      </c>
      <c r="G8">
        <f>数据表!H9</f>
        <v>6</v>
      </c>
      <c r="H8">
        <f t="shared" si="1"/>
        <v>0.0234818160471076</v>
      </c>
      <c r="I8">
        <f t="shared" si="2"/>
        <v>0.00782727201570254</v>
      </c>
      <c r="J8">
        <f t="shared" si="3"/>
        <v>0.086099992172728</v>
      </c>
      <c r="K8">
        <f>J8/K29</f>
        <v>0.00239144175897341</v>
      </c>
      <c r="L8">
        <f>VLOOKUP(G8,A32:E57,4,0)</f>
        <v>52.642515576436</v>
      </c>
      <c r="M8">
        <f>VLOOKUP(G8,A32:E57,5,0)</f>
        <v>42.6419318349115</v>
      </c>
      <c r="N8">
        <f t="shared" si="4"/>
        <v>0.0599568561529422</v>
      </c>
      <c r="O8">
        <f t="shared" si="5"/>
        <v>0.0739388359273765</v>
      </c>
      <c r="P8">
        <f t="shared" si="6"/>
        <v>49.4862358424906</v>
      </c>
      <c r="Q8">
        <f t="shared" si="7"/>
        <v>39.4890370333436</v>
      </c>
      <c r="R8">
        <f t="shared" si="8"/>
        <v>4.1042629297477</v>
      </c>
      <c r="S8">
        <f>'倾向-优先级表'!H14</f>
        <v>11</v>
      </c>
      <c r="T8">
        <f t="shared" si="9"/>
        <v>4.1042629297477</v>
      </c>
      <c r="U8">
        <f>T8/T28*100</f>
        <v>4.84738214153445</v>
      </c>
      <c r="V8">
        <f t="shared" si="10"/>
        <v>0</v>
      </c>
      <c r="W8">
        <f>V8/V28</f>
        <v>0</v>
      </c>
      <c r="X8">
        <f>数据表!N9</f>
        <v>0</v>
      </c>
      <c r="Y8">
        <f>数据表!O9</f>
        <v>0</v>
      </c>
      <c r="Z8">
        <f>数据表!Q9</f>
        <v>0.051</v>
      </c>
      <c r="AA8">
        <f>数据表!R9</f>
        <v>6375</v>
      </c>
      <c r="AB8">
        <f>Q61</f>
        <v>5.76639930772806e-5</v>
      </c>
      <c r="AC8">
        <f>R61</f>
        <v>0.000226049506367498</v>
      </c>
      <c r="AD8">
        <f>S61</f>
        <v>1.96612252438871e-5</v>
      </c>
      <c r="AE8">
        <f t="shared" si="14"/>
        <v>0</v>
      </c>
      <c r="AF8">
        <f t="shared" si="11"/>
        <v>0</v>
      </c>
      <c r="AG8">
        <f t="shared" si="12"/>
        <v>0</v>
      </c>
      <c r="AH8">
        <f t="shared" si="13"/>
        <v>0</v>
      </c>
    </row>
    <row r="9" ht="16.35" spans="1:34">
      <c r="A9" s="17" t="s">
        <v>189</v>
      </c>
      <c r="B9" s="18">
        <v>0.5</v>
      </c>
      <c r="C9" s="35">
        <v>438</v>
      </c>
      <c r="D9">
        <f t="shared" si="0"/>
        <v>0.0119454534595042</v>
      </c>
      <c r="E9" s="17" t="s">
        <v>189</v>
      </c>
      <c r="F9" s="18">
        <v>0.5</v>
      </c>
      <c r="G9">
        <f>数据表!H10</f>
        <v>1</v>
      </c>
      <c r="H9">
        <f t="shared" si="1"/>
        <v>0.0119454534595042</v>
      </c>
      <c r="I9">
        <f t="shared" si="2"/>
        <v>0.00398181781983474</v>
      </c>
      <c r="J9">
        <f t="shared" si="3"/>
        <v>0.0437999960181822</v>
      </c>
      <c r="K9">
        <f>J9/K29</f>
        <v>0.00121655225369379</v>
      </c>
      <c r="L9">
        <f>VLOOKUP(G9,A32:E57,4,0)</f>
        <v>100</v>
      </c>
      <c r="M9">
        <f>VLOOKUP(G9,A32:E57,5,0)</f>
        <v>100</v>
      </c>
      <c r="N9">
        <f t="shared" si="4"/>
        <v>0.0311614645380741</v>
      </c>
      <c r="O9">
        <f t="shared" si="5"/>
        <v>0.0386868274398692</v>
      </c>
      <c r="P9">
        <f t="shared" si="6"/>
        <v>96.8838535461926</v>
      </c>
      <c r="Q9">
        <f t="shared" si="7"/>
        <v>96.1313172560131</v>
      </c>
      <c r="R9">
        <f t="shared" si="8"/>
        <v>4.23751947472875</v>
      </c>
      <c r="S9">
        <f>'倾向-优先级表'!H14</f>
        <v>11</v>
      </c>
      <c r="T9">
        <f t="shared" si="9"/>
        <v>4.23751947472875</v>
      </c>
      <c r="U9">
        <f>T9/T28*100</f>
        <v>5.00476616089196</v>
      </c>
      <c r="V9">
        <f t="shared" si="10"/>
        <v>0</v>
      </c>
      <c r="W9">
        <f>V9/V28</f>
        <v>0</v>
      </c>
      <c r="X9">
        <f>数据表!N10</f>
        <v>0</v>
      </c>
      <c r="Y9">
        <f>数据表!O10</f>
        <v>0</v>
      </c>
      <c r="Z9">
        <f>数据表!Q10</f>
        <v>0.816</v>
      </c>
      <c r="AA9">
        <f>数据表!R10</f>
        <v>1125</v>
      </c>
      <c r="AB9">
        <f>Q61</f>
        <v>5.76639930772806e-5</v>
      </c>
      <c r="AC9">
        <f>R61</f>
        <v>0.000226049506367498</v>
      </c>
      <c r="AD9">
        <f>S61</f>
        <v>1.96612252438871e-5</v>
      </c>
      <c r="AE9">
        <f t="shared" si="14"/>
        <v>0</v>
      </c>
      <c r="AF9">
        <f t="shared" si="11"/>
        <v>0</v>
      </c>
      <c r="AG9">
        <f t="shared" si="12"/>
        <v>0</v>
      </c>
      <c r="AH9">
        <f t="shared" si="13"/>
        <v>0</v>
      </c>
    </row>
    <row r="10" ht="15.6" spans="1:34">
      <c r="A10" s="19" t="s">
        <v>274</v>
      </c>
      <c r="B10" s="6">
        <v>2.5</v>
      </c>
      <c r="C10" s="35">
        <v>4817</v>
      </c>
      <c r="D10">
        <f t="shared" si="0"/>
        <v>0.131372715329753</v>
      </c>
      <c r="E10" s="19" t="s">
        <v>194</v>
      </c>
      <c r="F10" s="6">
        <v>2.5</v>
      </c>
      <c r="G10">
        <f>数据表!H11</f>
        <v>10</v>
      </c>
      <c r="H10">
        <f>D28*D10</f>
        <v>0</v>
      </c>
      <c r="I10">
        <f>E28*D10</f>
        <v>0</v>
      </c>
      <c r="J10">
        <f t="shared" si="3"/>
        <v>0</v>
      </c>
      <c r="K10">
        <f>J10/K29</f>
        <v>0</v>
      </c>
      <c r="L10">
        <f>VLOOKUP(G10,A32:E57,4,0)</f>
        <v>23.8609554069342</v>
      </c>
      <c r="M10">
        <f>VLOOKUP(G10,A32:E57,5,0)</f>
        <v>15.1673149754722</v>
      </c>
      <c r="N10">
        <f t="shared" si="4"/>
        <v>0</v>
      </c>
      <c r="O10">
        <f t="shared" si="5"/>
        <v>0</v>
      </c>
      <c r="P10">
        <f t="shared" si="6"/>
        <v>23.8609554069342</v>
      </c>
      <c r="Q10">
        <f t="shared" si="7"/>
        <v>15.1673149754722</v>
      </c>
      <c r="R10">
        <f t="shared" si="8"/>
        <v>0</v>
      </c>
      <c r="S10">
        <f>'倾向-优先级表'!H14</f>
        <v>11</v>
      </c>
      <c r="T10">
        <f t="shared" si="9"/>
        <v>0</v>
      </c>
      <c r="U10">
        <f>T10/T28*100</f>
        <v>0</v>
      </c>
      <c r="V10">
        <f t="shared" si="10"/>
        <v>0</v>
      </c>
      <c r="W10">
        <f>V10/V28</f>
        <v>0</v>
      </c>
      <c r="X10">
        <f>数据表!N11</f>
        <v>0.92</v>
      </c>
      <c r="Y10">
        <f>数据表!O11</f>
        <v>0</v>
      </c>
      <c r="Z10">
        <f>数据表!Q11</f>
        <v>0.014</v>
      </c>
      <c r="AA10">
        <f>数据表!R11</f>
        <v>4125</v>
      </c>
      <c r="AB10">
        <f>Q61</f>
        <v>5.76639930772806e-5</v>
      </c>
      <c r="AC10">
        <f>R61</f>
        <v>0.000226049506367498</v>
      </c>
      <c r="AD10">
        <f>S61</f>
        <v>1.96612252438871e-5</v>
      </c>
      <c r="AE10">
        <f t="shared" si="14"/>
        <v>0</v>
      </c>
      <c r="AF10">
        <f t="shared" si="11"/>
        <v>0</v>
      </c>
      <c r="AG10">
        <f t="shared" si="12"/>
        <v>0</v>
      </c>
      <c r="AH10">
        <f t="shared" si="13"/>
        <v>0</v>
      </c>
    </row>
    <row r="11" ht="15.6" spans="1:34">
      <c r="A11" s="7" t="s">
        <v>274</v>
      </c>
      <c r="B11" s="8">
        <v>5</v>
      </c>
      <c r="C11" s="35">
        <v>3036</v>
      </c>
      <c r="D11">
        <f t="shared" si="0"/>
        <v>0.082799992472728</v>
      </c>
      <c r="E11" s="7" t="s">
        <v>194</v>
      </c>
      <c r="F11" s="8">
        <v>5</v>
      </c>
      <c r="G11">
        <f>数据表!H12</f>
        <v>20</v>
      </c>
      <c r="H11">
        <f>D28*D11</f>
        <v>0</v>
      </c>
      <c r="I11">
        <f>E28*D11</f>
        <v>0</v>
      </c>
      <c r="J11">
        <f t="shared" si="3"/>
        <v>0</v>
      </c>
      <c r="K11">
        <f>J11/K29</f>
        <v>0</v>
      </c>
      <c r="L11">
        <f>VLOOKUP(G11,A32:E57,4,0)</f>
        <v>2.88994491368024</v>
      </c>
      <c r="M11">
        <f>VLOOKUP(G11,A32:E57,5,0)</f>
        <v>0.803930227407662</v>
      </c>
      <c r="N11">
        <f t="shared" si="4"/>
        <v>0</v>
      </c>
      <c r="O11">
        <f t="shared" si="5"/>
        <v>0</v>
      </c>
      <c r="P11">
        <f t="shared" si="6"/>
        <v>2.88994491368024</v>
      </c>
      <c r="Q11">
        <f t="shared" si="7"/>
        <v>0.803930227407662</v>
      </c>
      <c r="R11">
        <f t="shared" si="8"/>
        <v>0</v>
      </c>
      <c r="S11">
        <f>'倾向-优先级表'!H14</f>
        <v>11</v>
      </c>
      <c r="T11">
        <f t="shared" si="9"/>
        <v>0</v>
      </c>
      <c r="U11">
        <f>T11/T28*100</f>
        <v>0</v>
      </c>
      <c r="V11">
        <f t="shared" si="10"/>
        <v>0</v>
      </c>
      <c r="W11">
        <f>V11/V28</f>
        <v>0</v>
      </c>
      <c r="X11">
        <f>数据表!N12</f>
        <v>0.75</v>
      </c>
      <c r="Y11">
        <f>数据表!O12</f>
        <v>0</v>
      </c>
      <c r="Z11">
        <f>数据表!Q12</f>
        <v>0.01</v>
      </c>
      <c r="AA11">
        <f>数据表!R12</f>
        <v>7875</v>
      </c>
      <c r="AB11">
        <f>Q61</f>
        <v>5.76639930772806e-5</v>
      </c>
      <c r="AC11">
        <f>R61</f>
        <v>0.000226049506367498</v>
      </c>
      <c r="AD11">
        <f>S61</f>
        <v>1.96612252438871e-5</v>
      </c>
      <c r="AE11">
        <f t="shared" si="14"/>
        <v>0</v>
      </c>
      <c r="AF11">
        <f t="shared" si="11"/>
        <v>0</v>
      </c>
      <c r="AG11">
        <f t="shared" si="12"/>
        <v>0</v>
      </c>
      <c r="AH11">
        <f t="shared" si="13"/>
        <v>0</v>
      </c>
    </row>
    <row r="12" ht="15.6" spans="1:34">
      <c r="A12" s="9" t="s">
        <v>274</v>
      </c>
      <c r="B12" s="10">
        <v>8</v>
      </c>
      <c r="C12" s="35">
        <v>716</v>
      </c>
      <c r="D12">
        <f t="shared" si="0"/>
        <v>0.0195272709520663</v>
      </c>
      <c r="E12" s="9" t="s">
        <v>194</v>
      </c>
      <c r="F12" s="10">
        <v>8</v>
      </c>
      <c r="G12">
        <f>数据表!H13</f>
        <v>21</v>
      </c>
      <c r="H12">
        <f>D28*D12</f>
        <v>0</v>
      </c>
      <c r="I12">
        <f>E28*D12</f>
        <v>0</v>
      </c>
      <c r="J12">
        <f t="shared" si="3"/>
        <v>0</v>
      </c>
      <c r="K12">
        <f>J12/K29</f>
        <v>0</v>
      </c>
      <c r="L12">
        <f>VLOOKUP(G12,A32:E57,4,0)</f>
        <v>2.88994491368024</v>
      </c>
      <c r="M12">
        <f>VLOOKUP(G12,A32:E57,5,0)</f>
        <v>0.803930227407662</v>
      </c>
      <c r="N12">
        <f t="shared" si="4"/>
        <v>0</v>
      </c>
      <c r="O12">
        <f t="shared" si="5"/>
        <v>0</v>
      </c>
      <c r="P12">
        <f t="shared" si="6"/>
        <v>2.88994491368024</v>
      </c>
      <c r="Q12">
        <f t="shared" si="7"/>
        <v>0.803930227407662</v>
      </c>
      <c r="R12">
        <f t="shared" si="8"/>
        <v>0</v>
      </c>
      <c r="S12">
        <f>'倾向-优先级表'!H14</f>
        <v>11</v>
      </c>
      <c r="T12">
        <f t="shared" si="9"/>
        <v>0</v>
      </c>
      <c r="U12">
        <f>T12/T28*100</f>
        <v>0</v>
      </c>
      <c r="V12">
        <f t="shared" si="10"/>
        <v>0</v>
      </c>
      <c r="W12">
        <f>V12/V28</f>
        <v>0</v>
      </c>
      <c r="X12">
        <f>数据表!N13</f>
        <v>0.75</v>
      </c>
      <c r="Y12">
        <f>数据表!O13</f>
        <v>0</v>
      </c>
      <c r="Z12">
        <f>数据表!Q13</f>
        <v>0.011</v>
      </c>
      <c r="AA12">
        <f>数据表!R13</f>
        <v>12375</v>
      </c>
      <c r="AB12">
        <f>Q61</f>
        <v>5.76639930772806e-5</v>
      </c>
      <c r="AC12">
        <f>R61</f>
        <v>0.000226049506367498</v>
      </c>
      <c r="AD12">
        <f>S61</f>
        <v>1.96612252438871e-5</v>
      </c>
      <c r="AE12">
        <f t="shared" si="14"/>
        <v>0</v>
      </c>
      <c r="AF12">
        <f t="shared" si="11"/>
        <v>0</v>
      </c>
      <c r="AG12">
        <f t="shared" si="12"/>
        <v>0</v>
      </c>
      <c r="AH12">
        <f t="shared" si="13"/>
        <v>0</v>
      </c>
    </row>
    <row r="13" ht="15.6" spans="1:34">
      <c r="A13" s="9" t="s">
        <v>274</v>
      </c>
      <c r="B13" s="10">
        <v>0.5</v>
      </c>
      <c r="C13" s="35">
        <v>129</v>
      </c>
      <c r="D13">
        <f t="shared" si="0"/>
        <v>0.00351818149834714</v>
      </c>
      <c r="E13" s="9" t="s">
        <v>194</v>
      </c>
      <c r="F13" s="10">
        <v>0.5</v>
      </c>
      <c r="G13">
        <f>数据表!H14</f>
        <v>3</v>
      </c>
      <c r="H13">
        <f>D28*D13</f>
        <v>0</v>
      </c>
      <c r="I13">
        <f>E28*D13</f>
        <v>0</v>
      </c>
      <c r="J13">
        <f t="shared" si="3"/>
        <v>0</v>
      </c>
      <c r="K13">
        <f>J13/K29</f>
        <v>0</v>
      </c>
      <c r="L13">
        <f>VLOOKUP(G13,A32:E57,4,0)</f>
        <v>96.0563141126802</v>
      </c>
      <c r="M13">
        <f>VLOOKUP(G13,A32:E57,5,0)</f>
        <v>95.0006294515319</v>
      </c>
      <c r="N13">
        <f t="shared" si="4"/>
        <v>0</v>
      </c>
      <c r="O13">
        <f t="shared" si="5"/>
        <v>0</v>
      </c>
      <c r="P13">
        <f t="shared" si="6"/>
        <v>96.0563141126802</v>
      </c>
      <c r="Q13">
        <f t="shared" si="7"/>
        <v>95.0006294515319</v>
      </c>
      <c r="R13">
        <f t="shared" si="8"/>
        <v>0</v>
      </c>
      <c r="S13">
        <f>'倾向-优先级表'!H14</f>
        <v>11</v>
      </c>
      <c r="T13">
        <f t="shared" si="9"/>
        <v>0</v>
      </c>
      <c r="U13">
        <f>T13/T28*100</f>
        <v>0</v>
      </c>
      <c r="V13">
        <f t="shared" si="10"/>
        <v>0</v>
      </c>
      <c r="W13">
        <f>V13/V28</f>
        <v>0</v>
      </c>
      <c r="X13">
        <f>数据表!N14</f>
        <v>17.61</v>
      </c>
      <c r="Y13">
        <f>数据表!O14</f>
        <v>0</v>
      </c>
      <c r="Z13">
        <f>数据表!Q14</f>
        <v>0.25</v>
      </c>
      <c r="AA13">
        <f>数据表!R14</f>
        <v>7625</v>
      </c>
      <c r="AB13">
        <f>Q61</f>
        <v>5.76639930772806e-5</v>
      </c>
      <c r="AC13">
        <f>R61</f>
        <v>0.000226049506367498</v>
      </c>
      <c r="AD13">
        <f>S61</f>
        <v>1.96612252438871e-5</v>
      </c>
      <c r="AE13">
        <f t="shared" si="14"/>
        <v>0</v>
      </c>
      <c r="AF13">
        <f t="shared" si="11"/>
        <v>0</v>
      </c>
      <c r="AG13">
        <f t="shared" si="12"/>
        <v>0</v>
      </c>
      <c r="AH13">
        <f t="shared" si="13"/>
        <v>0</v>
      </c>
    </row>
    <row r="14" ht="15.6" spans="1:34">
      <c r="A14" s="36"/>
      <c r="B14" s="37"/>
      <c r="C14" s="38"/>
      <c r="D14">
        <f t="shared" si="0"/>
        <v>0</v>
      </c>
      <c r="E14" s="15" t="s">
        <v>199</v>
      </c>
      <c r="F14" s="16">
        <v>2.5</v>
      </c>
      <c r="G14">
        <f>数据表!H15</f>
        <v>4</v>
      </c>
      <c r="H14">
        <f>D10*D29</f>
        <v>0.131372715329753</v>
      </c>
      <c r="I14">
        <f>E29*D10</f>
        <v>0.0202111869738082</v>
      </c>
      <c r="J14">
        <f t="shared" si="3"/>
        <v>0.434540519936875</v>
      </c>
      <c r="K14">
        <f>J14/K29</f>
        <v>0.0120694360024834</v>
      </c>
      <c r="L14">
        <f>VLOOKUP(G14,A32:E57,4,0)</f>
        <v>96.0563141126802</v>
      </c>
      <c r="M14">
        <f>VLOOKUP(G14,A32:E57,5,0)</f>
        <v>95.0006294515319</v>
      </c>
      <c r="N14">
        <f t="shared" si="4"/>
        <v>0.248978363476009</v>
      </c>
      <c r="O14">
        <f t="shared" si="5"/>
        <v>0.304603486023356</v>
      </c>
      <c r="P14">
        <f t="shared" si="6"/>
        <v>72.1403702233676</v>
      </c>
      <c r="Q14">
        <f t="shared" si="7"/>
        <v>66.0631065461822</v>
      </c>
      <c r="R14">
        <f t="shared" si="8"/>
        <v>31.1022565603634</v>
      </c>
      <c r="S14">
        <f>'倾向-优先级表'!H14</f>
        <v>11</v>
      </c>
      <c r="T14">
        <f t="shared" si="9"/>
        <v>31.1022565603634</v>
      </c>
      <c r="U14">
        <f>T14/T28*100</f>
        <v>36.7336414827098</v>
      </c>
      <c r="V14">
        <f t="shared" si="10"/>
        <v>0</v>
      </c>
      <c r="W14">
        <f>V14/V28</f>
        <v>0</v>
      </c>
      <c r="X14">
        <f>数据表!N15</f>
        <v>0</v>
      </c>
      <c r="Y14">
        <f>数据表!O15</f>
        <v>0.61</v>
      </c>
      <c r="Z14">
        <f>数据表!Q15</f>
        <v>0.014</v>
      </c>
      <c r="AA14">
        <f>数据表!R15</f>
        <v>4125</v>
      </c>
      <c r="AB14">
        <f>Q61</f>
        <v>5.76639930772806e-5</v>
      </c>
      <c r="AC14">
        <f>R61</f>
        <v>0.000226049506367498</v>
      </c>
      <c r="AD14">
        <f>S61</f>
        <v>1.96612252438871e-5</v>
      </c>
      <c r="AE14">
        <f t="shared" si="14"/>
        <v>0</v>
      </c>
      <c r="AF14">
        <f t="shared" si="11"/>
        <v>0</v>
      </c>
      <c r="AG14">
        <f t="shared" si="12"/>
        <v>0</v>
      </c>
      <c r="AH14">
        <f t="shared" si="13"/>
        <v>0</v>
      </c>
    </row>
    <row r="15" ht="15.6" spans="1:34">
      <c r="A15" s="36"/>
      <c r="B15" s="37"/>
      <c r="C15" s="38"/>
      <c r="D15">
        <f t="shared" si="0"/>
        <v>0</v>
      </c>
      <c r="E15" s="7" t="s">
        <v>199</v>
      </c>
      <c r="F15" s="8">
        <v>5</v>
      </c>
      <c r="G15">
        <f>数据表!H16</f>
        <v>11</v>
      </c>
      <c r="H15">
        <f>D11*D29</f>
        <v>0.082799992472728</v>
      </c>
      <c r="I15">
        <f>E29*D11</f>
        <v>0.0127384603804197</v>
      </c>
      <c r="J15">
        <f t="shared" si="3"/>
        <v>0.273876898179023</v>
      </c>
      <c r="K15">
        <f>J15/K29</f>
        <v>0.00760697689506738</v>
      </c>
      <c r="L15">
        <f>VLOOKUP(G15,A32:E57,4,0)</f>
        <v>23.8609554069342</v>
      </c>
      <c r="M15">
        <f>VLOOKUP(G15,A32:E57,5,0)</f>
        <v>15.1673149754722</v>
      </c>
      <c r="N15">
        <f t="shared" si="4"/>
        <v>0.169202898023826</v>
      </c>
      <c r="O15">
        <f t="shared" si="5"/>
        <v>0.216134999769816</v>
      </c>
      <c r="P15">
        <f t="shared" si="6"/>
        <v>19.8236126024637</v>
      </c>
      <c r="Q15">
        <f t="shared" si="7"/>
        <v>11.8891273567398</v>
      </c>
      <c r="R15">
        <f t="shared" si="8"/>
        <v>5.22708327838199</v>
      </c>
      <c r="S15">
        <f>'倾向-优先级表'!H14</f>
        <v>11</v>
      </c>
      <c r="T15">
        <f t="shared" si="9"/>
        <v>5.22708327838199</v>
      </c>
      <c r="U15">
        <f>T15/T28*100</f>
        <v>6.17350071612001</v>
      </c>
      <c r="V15">
        <f t="shared" si="10"/>
        <v>0</v>
      </c>
      <c r="W15">
        <f>V15/V28</f>
        <v>0</v>
      </c>
      <c r="X15">
        <f>数据表!N16</f>
        <v>0</v>
      </c>
      <c r="Y15">
        <f>数据表!O16</f>
        <v>0.51</v>
      </c>
      <c r="Z15">
        <f>数据表!Q16</f>
        <v>0.01</v>
      </c>
      <c r="AA15">
        <f>数据表!R16</f>
        <v>7875</v>
      </c>
      <c r="AB15">
        <f>Q61</f>
        <v>5.76639930772806e-5</v>
      </c>
      <c r="AC15">
        <f>R61</f>
        <v>0.000226049506367498</v>
      </c>
      <c r="AD15">
        <f>S61</f>
        <v>1.96612252438871e-5</v>
      </c>
      <c r="AE15">
        <f t="shared" si="14"/>
        <v>0</v>
      </c>
      <c r="AF15">
        <f t="shared" si="11"/>
        <v>0</v>
      </c>
      <c r="AG15">
        <f t="shared" si="12"/>
        <v>0</v>
      </c>
      <c r="AH15">
        <f t="shared" si="13"/>
        <v>0</v>
      </c>
    </row>
    <row r="16" ht="15.6" spans="1:34">
      <c r="A16" s="36"/>
      <c r="B16" s="37"/>
      <c r="C16" s="38"/>
      <c r="D16">
        <f t="shared" si="0"/>
        <v>0</v>
      </c>
      <c r="E16" s="9" t="s">
        <v>199</v>
      </c>
      <c r="F16" s="10">
        <v>8</v>
      </c>
      <c r="G16">
        <f>数据表!H17</f>
        <v>17</v>
      </c>
      <c r="H16">
        <f>D12*D29</f>
        <v>0.0195272709520663</v>
      </c>
      <c r="I16">
        <f>E29*D12</f>
        <v>0.00300419553108712</v>
      </c>
      <c r="J16">
        <f t="shared" si="3"/>
        <v>0.0645902039183731</v>
      </c>
      <c r="K16">
        <f>J16/K29</f>
        <v>0.00179400377367202</v>
      </c>
      <c r="L16">
        <f>VLOOKUP(G16,A32:E57,4,0)</f>
        <v>9.23096221402528</v>
      </c>
      <c r="M16">
        <f>VLOOKUP(G16,A32:E57,5,0)</f>
        <v>4.09036523386116</v>
      </c>
      <c r="N16">
        <f t="shared" si="4"/>
        <v>0.0438208609568591</v>
      </c>
      <c r="O16">
        <f t="shared" si="5"/>
        <v>0.0589786985725416</v>
      </c>
      <c r="P16">
        <f t="shared" si="6"/>
        <v>8.82645350234645</v>
      </c>
      <c r="Q16">
        <f t="shared" si="7"/>
        <v>3.84912081568166</v>
      </c>
      <c r="R16">
        <f t="shared" si="8"/>
        <v>0.540196670364572</v>
      </c>
      <c r="S16">
        <f>'倾向-优先级表'!H14</f>
        <v>11</v>
      </c>
      <c r="T16">
        <f t="shared" si="9"/>
        <v>0</v>
      </c>
      <c r="U16">
        <f>T16/T28*100</f>
        <v>0</v>
      </c>
      <c r="V16">
        <f t="shared" si="10"/>
        <v>0.540196670364572</v>
      </c>
      <c r="W16">
        <f>V16/V28</f>
        <v>0.0646007216919277</v>
      </c>
      <c r="X16">
        <f>数据表!N17</f>
        <v>0</v>
      </c>
      <c r="Y16">
        <f>数据表!O17</f>
        <v>0.51</v>
      </c>
      <c r="Z16">
        <f>数据表!Q17</f>
        <v>0.011</v>
      </c>
      <c r="AA16">
        <f>数据表!R17</f>
        <v>12375</v>
      </c>
      <c r="AB16">
        <f>Q61</f>
        <v>5.76639930772806e-5</v>
      </c>
      <c r="AC16">
        <f>R61</f>
        <v>0.000226049506367498</v>
      </c>
      <c r="AD16">
        <f>S61</f>
        <v>1.96612252438871e-5</v>
      </c>
      <c r="AE16">
        <f t="shared" si="14"/>
        <v>-0.0460985526593293</v>
      </c>
      <c r="AF16">
        <f t="shared" si="11"/>
        <v>-0.147765277398991</v>
      </c>
      <c r="AG16">
        <f t="shared" si="12"/>
        <v>-0.0150072426451591</v>
      </c>
      <c r="AH16">
        <f t="shared" si="13"/>
        <v>0.532955953958403</v>
      </c>
    </row>
    <row r="17" ht="16.35" spans="1:34">
      <c r="A17" s="39"/>
      <c r="B17" s="40"/>
      <c r="C17" s="38"/>
      <c r="D17">
        <f t="shared" si="0"/>
        <v>0</v>
      </c>
      <c r="E17" s="20" t="s">
        <v>199</v>
      </c>
      <c r="F17" s="21">
        <v>0.5</v>
      </c>
      <c r="G17">
        <f>数据表!H18</f>
        <v>2</v>
      </c>
      <c r="H17">
        <f>D13*D29</f>
        <v>0.00351818149834714</v>
      </c>
      <c r="I17">
        <f>E29*D13</f>
        <v>0.000541258692053406</v>
      </c>
      <c r="J17">
        <f t="shared" si="3"/>
        <v>0.0116370618791482</v>
      </c>
      <c r="K17">
        <f>J17/K29</f>
        <v>0.000323221350284484</v>
      </c>
      <c r="L17">
        <f>VLOOKUP(G17,A32:E57,4,0)</f>
        <v>96.8492751763828</v>
      </c>
      <c r="M17">
        <f>VLOOKUP(G17,A32:E57,5,0)</f>
        <v>96.0749194936557</v>
      </c>
      <c r="N17">
        <f t="shared" si="4"/>
        <v>0.00807835165275696</v>
      </c>
      <c r="O17">
        <f t="shared" si="5"/>
        <v>0.0110103029438842</v>
      </c>
      <c r="P17">
        <f t="shared" si="6"/>
        <v>96.0668926741934</v>
      </c>
      <c r="Q17">
        <f t="shared" si="7"/>
        <v>95.0171055247212</v>
      </c>
      <c r="R17">
        <f t="shared" si="8"/>
        <v>1.11679996174816</v>
      </c>
      <c r="S17">
        <f>'倾向-优先级表'!H14</f>
        <v>11</v>
      </c>
      <c r="T17">
        <f t="shared" si="9"/>
        <v>1.11679996174816</v>
      </c>
      <c r="U17">
        <f>T17/T28*100</f>
        <v>1.31900813444649</v>
      </c>
      <c r="V17">
        <f t="shared" si="10"/>
        <v>0</v>
      </c>
      <c r="W17">
        <f>V17/V28</f>
        <v>0</v>
      </c>
      <c r="X17">
        <f>数据表!N18</f>
        <v>0</v>
      </c>
      <c r="Y17">
        <f>数据表!O18</f>
        <v>11.77</v>
      </c>
      <c r="Z17">
        <f>数据表!Q18</f>
        <v>0.25</v>
      </c>
      <c r="AA17">
        <f>数据表!R18</f>
        <v>7625</v>
      </c>
      <c r="AB17">
        <f>Q61</f>
        <v>5.76639930772806e-5</v>
      </c>
      <c r="AC17">
        <f>R61</f>
        <v>0.000226049506367498</v>
      </c>
      <c r="AD17">
        <f>S61</f>
        <v>1.96612252438871e-5</v>
      </c>
      <c r="AE17">
        <f t="shared" si="14"/>
        <v>0</v>
      </c>
      <c r="AF17">
        <f t="shared" si="11"/>
        <v>0</v>
      </c>
      <c r="AG17">
        <f t="shared" si="12"/>
        <v>0</v>
      </c>
      <c r="AH17">
        <f t="shared" si="13"/>
        <v>0</v>
      </c>
    </row>
    <row r="18" ht="15.6" spans="1:34">
      <c r="A18" s="13" t="s">
        <v>204</v>
      </c>
      <c r="B18" s="14">
        <v>1.5</v>
      </c>
      <c r="C18" s="35">
        <v>3436</v>
      </c>
      <c r="D18">
        <f t="shared" si="0"/>
        <v>0.0937090823900834</v>
      </c>
      <c r="E18" s="13" t="s">
        <v>204</v>
      </c>
      <c r="F18" s="14">
        <v>1.5</v>
      </c>
      <c r="G18">
        <f>数据表!H19</f>
        <v>8</v>
      </c>
      <c r="H18">
        <f t="shared" si="1"/>
        <v>0.0937090823900834</v>
      </c>
      <c r="I18">
        <f t="shared" si="2"/>
        <v>0.0312363607966945</v>
      </c>
      <c r="J18">
        <f t="shared" si="3"/>
        <v>0.343599968763639</v>
      </c>
      <c r="K18">
        <f>J18/K29</f>
        <v>0.00954354690340606</v>
      </c>
      <c r="L18">
        <f>VLOOKUP(G18,A32:E57,4,0)</f>
        <v>41.8296498804042</v>
      </c>
      <c r="M18">
        <f>VLOOKUP(G18,A32:E57,5,0)</f>
        <v>31.6763518370492</v>
      </c>
      <c r="N18">
        <f t="shared" si="4"/>
        <v>0.209119753481764</v>
      </c>
      <c r="O18">
        <f t="shared" si="5"/>
        <v>0.246947031045051</v>
      </c>
      <c r="P18">
        <f t="shared" si="6"/>
        <v>33.0822438091856</v>
      </c>
      <c r="Q18">
        <f t="shared" si="7"/>
        <v>23.8539707965514</v>
      </c>
      <c r="R18">
        <f t="shared" si="8"/>
        <v>10.7905426087612</v>
      </c>
      <c r="S18">
        <f>'倾向-优先级表'!H14</f>
        <v>11</v>
      </c>
      <c r="T18">
        <f t="shared" si="9"/>
        <v>10.7905426087612</v>
      </c>
      <c r="U18">
        <f>T18/T28*100</f>
        <v>12.7442818441437</v>
      </c>
      <c r="V18">
        <f t="shared" si="10"/>
        <v>0</v>
      </c>
      <c r="W18">
        <f>V18/V28</f>
        <v>0</v>
      </c>
      <c r="X18">
        <f>数据表!N19</f>
        <v>0.58</v>
      </c>
      <c r="Y18">
        <f>数据表!O19</f>
        <v>0.15</v>
      </c>
      <c r="Z18">
        <f>数据表!Q19</f>
        <v>0.016</v>
      </c>
      <c r="AA18">
        <f>数据表!R19</f>
        <v>2625</v>
      </c>
      <c r="AB18">
        <f>Q61</f>
        <v>5.76639930772806e-5</v>
      </c>
      <c r="AC18">
        <f>R61</f>
        <v>0.000226049506367498</v>
      </c>
      <c r="AD18">
        <f>S61</f>
        <v>1.96612252438871e-5</v>
      </c>
      <c r="AE18">
        <f t="shared" si="14"/>
        <v>0</v>
      </c>
      <c r="AF18">
        <f t="shared" si="11"/>
        <v>0</v>
      </c>
      <c r="AG18">
        <f t="shared" si="12"/>
        <v>0</v>
      </c>
      <c r="AH18">
        <f t="shared" si="13"/>
        <v>0</v>
      </c>
    </row>
    <row r="19" ht="15.6" spans="1:34">
      <c r="A19" s="15" t="s">
        <v>204</v>
      </c>
      <c r="B19" s="16">
        <v>2.5</v>
      </c>
      <c r="C19" s="35">
        <v>2346</v>
      </c>
      <c r="D19">
        <f t="shared" si="0"/>
        <v>0.0639818123652898</v>
      </c>
      <c r="E19" s="15" t="s">
        <v>204</v>
      </c>
      <c r="F19" s="16">
        <v>2.5</v>
      </c>
      <c r="G19">
        <f>数据表!H20</f>
        <v>12</v>
      </c>
      <c r="H19">
        <f t="shared" si="1"/>
        <v>0.0639818123652898</v>
      </c>
      <c r="I19">
        <f t="shared" si="2"/>
        <v>0.0213272707884299</v>
      </c>
      <c r="J19">
        <f t="shared" si="3"/>
        <v>0.234599978672729</v>
      </c>
      <c r="K19">
        <f>J19/K29</f>
        <v>0.00651605385197631</v>
      </c>
      <c r="L19">
        <f>VLOOKUP(G19,A32:E57,4,0)</f>
        <v>16.7976319284303</v>
      </c>
      <c r="M19">
        <f>VLOOKUP(G19,A32:E57,5,0)</f>
        <v>9.22493705132161</v>
      </c>
      <c r="N19">
        <f t="shared" si="4"/>
        <v>0.151295664014583</v>
      </c>
      <c r="O19">
        <f t="shared" si="5"/>
        <v>0.18207250861501</v>
      </c>
      <c r="P19">
        <f t="shared" si="6"/>
        <v>14.2562230519458</v>
      </c>
      <c r="Q19">
        <f t="shared" si="7"/>
        <v>7.54532962057193</v>
      </c>
      <c r="R19">
        <f t="shared" si="8"/>
        <v>3.05825954105375</v>
      </c>
      <c r="S19">
        <f>'倾向-优先级表'!H14</f>
        <v>11</v>
      </c>
      <c r="T19">
        <f t="shared" si="9"/>
        <v>0</v>
      </c>
      <c r="U19">
        <f>T19/T28*100</f>
        <v>0</v>
      </c>
      <c r="V19">
        <f t="shared" si="10"/>
        <v>3.05825954105375</v>
      </c>
      <c r="W19">
        <f>V19/V28</f>
        <v>0.365729343240789</v>
      </c>
      <c r="X19">
        <f>数据表!N20</f>
        <v>0.45</v>
      </c>
      <c r="Y19">
        <f>数据表!O20</f>
        <v>0.1</v>
      </c>
      <c r="Z19">
        <f>数据表!Q20</f>
        <v>0.014</v>
      </c>
      <c r="AA19">
        <f>数据表!R20</f>
        <v>4125</v>
      </c>
      <c r="AB19">
        <f>Q61</f>
        <v>5.76639930772806e-5</v>
      </c>
      <c r="AC19">
        <f>R61</f>
        <v>0.000226049506367498</v>
      </c>
      <c r="AD19">
        <f>S61</f>
        <v>1.96612252438871e-5</v>
      </c>
      <c r="AE19">
        <f t="shared" si="14"/>
        <v>0.0775843704015747</v>
      </c>
      <c r="AF19">
        <f t="shared" si="11"/>
        <v>-0.304452932878641</v>
      </c>
      <c r="AG19">
        <f t="shared" si="12"/>
        <v>-0.0245413730521226</v>
      </c>
      <c r="AH19">
        <f t="shared" si="13"/>
        <v>1.00575569391217</v>
      </c>
    </row>
    <row r="20" ht="16.35" spans="1:34">
      <c r="A20" s="22" t="s">
        <v>204</v>
      </c>
      <c r="B20" s="23">
        <v>4</v>
      </c>
      <c r="C20" s="35">
        <v>1793</v>
      </c>
      <c r="D20">
        <f t="shared" si="0"/>
        <v>0.0488999955545459</v>
      </c>
      <c r="E20" s="22" t="s">
        <v>204</v>
      </c>
      <c r="F20" s="23">
        <v>4</v>
      </c>
      <c r="G20">
        <f>数据表!H21</f>
        <v>9</v>
      </c>
      <c r="H20">
        <f t="shared" si="1"/>
        <v>0.0488999955545459</v>
      </c>
      <c r="I20">
        <f t="shared" si="2"/>
        <v>0.016299998518182</v>
      </c>
      <c r="J20">
        <f t="shared" si="3"/>
        <v>0.179299983700001</v>
      </c>
      <c r="K20">
        <f>J20/K29</f>
        <v>0.00498008719377387</v>
      </c>
      <c r="L20">
        <f>VLOOKUP(G20,A32:E57,4,0)</f>
        <v>29.2922738163652</v>
      </c>
      <c r="M20">
        <f>VLOOKUP(G20,A32:E57,5,0)</f>
        <v>19.8840224584792</v>
      </c>
      <c r="N20">
        <f t="shared" si="4"/>
        <v>0.11901890268852</v>
      </c>
      <c r="O20">
        <f t="shared" si="5"/>
        <v>0.144564265638356</v>
      </c>
      <c r="P20">
        <f t="shared" si="6"/>
        <v>25.8059395294898</v>
      </c>
      <c r="Q20">
        <f t="shared" si="7"/>
        <v>17.0095033538325</v>
      </c>
      <c r="R20">
        <f t="shared" si="8"/>
        <v>4.34024074374375</v>
      </c>
      <c r="S20">
        <f>'倾向-优先级表'!H14</f>
        <v>11</v>
      </c>
      <c r="T20">
        <f t="shared" si="9"/>
        <v>4.34024074374375</v>
      </c>
      <c r="U20">
        <f>T20/T28*100</f>
        <v>5.12608617705615</v>
      </c>
      <c r="V20">
        <f t="shared" si="10"/>
        <v>0</v>
      </c>
      <c r="W20">
        <f>V20/V28</f>
        <v>0</v>
      </c>
      <c r="X20">
        <f>数据表!N21</f>
        <v>0.52</v>
      </c>
      <c r="Y20">
        <f>数据表!O21</f>
        <v>0.14</v>
      </c>
      <c r="Z20">
        <f>数据表!Q21</f>
        <v>0.026</v>
      </c>
      <c r="AA20">
        <f>数据表!R21</f>
        <v>6375</v>
      </c>
      <c r="AB20">
        <f>Q61</f>
        <v>5.76639930772806e-5</v>
      </c>
      <c r="AC20">
        <f>R61</f>
        <v>0.000226049506367498</v>
      </c>
      <c r="AD20">
        <f>S61</f>
        <v>1.96612252438871e-5</v>
      </c>
      <c r="AE20">
        <f t="shared" si="14"/>
        <v>0</v>
      </c>
      <c r="AF20">
        <f t="shared" si="11"/>
        <v>0</v>
      </c>
      <c r="AG20">
        <f t="shared" si="12"/>
        <v>0</v>
      </c>
      <c r="AH20">
        <f t="shared" si="13"/>
        <v>0</v>
      </c>
    </row>
    <row r="21" ht="15.6" spans="1:34">
      <c r="A21" s="19" t="s">
        <v>208</v>
      </c>
      <c r="B21" s="6">
        <v>2</v>
      </c>
      <c r="C21" s="35">
        <v>709</v>
      </c>
      <c r="D21">
        <f t="shared" si="0"/>
        <v>0.0193363618785126</v>
      </c>
      <c r="E21" s="19" t="s">
        <v>208</v>
      </c>
      <c r="F21" s="6">
        <v>2</v>
      </c>
      <c r="G21">
        <f>数据表!H22</f>
        <v>16</v>
      </c>
      <c r="H21">
        <f t="shared" si="1"/>
        <v>0.0193363618785126</v>
      </c>
      <c r="I21">
        <f t="shared" si="2"/>
        <v>0.00644545395950419</v>
      </c>
      <c r="J21">
        <f t="shared" si="3"/>
        <v>0.070899993554546</v>
      </c>
      <c r="K21">
        <f>J21/K29</f>
        <v>0.00196925924170981</v>
      </c>
      <c r="L21">
        <f>VLOOKUP(G21,A32:E57,4,0)</f>
        <v>10.3894023941326</v>
      </c>
      <c r="M21">
        <f>VLOOKUP(G21,A32:E57,5,0)</f>
        <v>4.80886533681152</v>
      </c>
      <c r="N21">
        <f t="shared" si="4"/>
        <v>0.04975491834555</v>
      </c>
      <c r="O21">
        <f t="shared" si="5"/>
        <v>0.0615065726744147</v>
      </c>
      <c r="P21">
        <f t="shared" si="6"/>
        <v>9.87247852635347</v>
      </c>
      <c r="Q21">
        <f t="shared" si="7"/>
        <v>4.51308851149145</v>
      </c>
      <c r="R21">
        <f t="shared" si="8"/>
        <v>0.630871260702217</v>
      </c>
      <c r="S21">
        <f>'倾向-优先级表'!H14</f>
        <v>11</v>
      </c>
      <c r="T21">
        <f t="shared" si="9"/>
        <v>0</v>
      </c>
      <c r="U21">
        <f>T21/T28*100</f>
        <v>0</v>
      </c>
      <c r="V21">
        <f t="shared" si="10"/>
        <v>0.630871260702217</v>
      </c>
      <c r="W21">
        <f>V21/V28</f>
        <v>0.0754442612697976</v>
      </c>
      <c r="X21">
        <f>数据表!N22</f>
        <v>0</v>
      </c>
      <c r="Y21">
        <f>数据表!O22</f>
        <v>0</v>
      </c>
      <c r="Z21">
        <f>数据表!Q22</f>
        <v>0.018</v>
      </c>
      <c r="AA21">
        <f>数据表!R22</f>
        <v>3375</v>
      </c>
      <c r="AB21">
        <f>Q61</f>
        <v>5.76639930772806e-5</v>
      </c>
      <c r="AC21">
        <f>R61</f>
        <v>0.000226049506367498</v>
      </c>
      <c r="AD21">
        <f>S61</f>
        <v>1.96612252438871e-5</v>
      </c>
      <c r="AE21">
        <f t="shared" si="14"/>
        <v>-0.0146826585885898</v>
      </c>
      <c r="AF21">
        <f t="shared" si="11"/>
        <v>-0.0575577158117567</v>
      </c>
      <c r="AG21">
        <f t="shared" si="12"/>
        <v>-0.00364823062001517</v>
      </c>
      <c r="AH21">
        <f t="shared" si="13"/>
        <v>0.169749587857045</v>
      </c>
    </row>
    <row r="22" ht="16.35" spans="1:34">
      <c r="A22" s="24" t="s">
        <v>208</v>
      </c>
      <c r="B22" s="25">
        <v>2</v>
      </c>
      <c r="C22" s="35">
        <v>482</v>
      </c>
      <c r="D22">
        <f t="shared" si="0"/>
        <v>0.0131454533504133</v>
      </c>
      <c r="E22" s="24" t="s">
        <v>208</v>
      </c>
      <c r="F22" s="25">
        <v>2</v>
      </c>
      <c r="G22">
        <f>数据表!H23</f>
        <v>14</v>
      </c>
      <c r="H22">
        <f t="shared" si="1"/>
        <v>0.0131454533504133</v>
      </c>
      <c r="I22">
        <f t="shared" si="2"/>
        <v>0.00438181778347111</v>
      </c>
      <c r="J22">
        <f t="shared" si="3"/>
        <v>0.0481999956181822</v>
      </c>
      <c r="K22">
        <f>J22/K29</f>
        <v>0.00133876298237536</v>
      </c>
      <c r="L22">
        <f>VLOOKUP(G22,A32:E57,4,0)</f>
        <v>11.8782223812705</v>
      </c>
      <c r="M22">
        <f>VLOOKUP(G22,A32:E57,5,0)</f>
        <v>5.77222921724133</v>
      </c>
      <c r="N22">
        <f t="shared" si="4"/>
        <v>0.0342157721325218</v>
      </c>
      <c r="O22">
        <f t="shared" si="5"/>
        <v>0.0424493439081497</v>
      </c>
      <c r="P22">
        <f t="shared" si="6"/>
        <v>11.4717998309335</v>
      </c>
      <c r="Q22">
        <f t="shared" si="7"/>
        <v>5.52720187408198</v>
      </c>
      <c r="R22">
        <f t="shared" si="8"/>
        <v>0.500844411497821</v>
      </c>
      <c r="S22">
        <f>'倾向-优先级表'!H14</f>
        <v>11</v>
      </c>
      <c r="T22">
        <f t="shared" si="9"/>
        <v>0</v>
      </c>
      <c r="U22">
        <f>T22/T28*100</f>
        <v>0</v>
      </c>
      <c r="V22">
        <f t="shared" si="10"/>
        <v>0.500844411497821</v>
      </c>
      <c r="W22">
        <f>V22/V28</f>
        <v>0.0598946869041087</v>
      </c>
      <c r="X22">
        <f>数据表!N23</f>
        <v>0</v>
      </c>
      <c r="Y22">
        <f>数据表!O23</f>
        <v>0</v>
      </c>
      <c r="Z22">
        <f>数据表!Q23</f>
        <v>0.021</v>
      </c>
      <c r="AA22">
        <f>数据表!R23</f>
        <v>3375</v>
      </c>
      <c r="AB22">
        <f>Q61</f>
        <v>5.76639930772806e-5</v>
      </c>
      <c r="AC22">
        <f>R61</f>
        <v>0.000226049506367498</v>
      </c>
      <c r="AD22">
        <f>S61</f>
        <v>1.96612252438871e-5</v>
      </c>
      <c r="AE22">
        <f t="shared" si="14"/>
        <v>-0.0116564629871399</v>
      </c>
      <c r="AF22">
        <f t="shared" si="11"/>
        <v>-0.045694679879395</v>
      </c>
      <c r="AG22">
        <f t="shared" si="12"/>
        <v>-0.00271662146421521</v>
      </c>
      <c r="AH22">
        <f t="shared" si="13"/>
        <v>0.134763045534245</v>
      </c>
    </row>
    <row r="23" ht="15.6" spans="1:34">
      <c r="A23" s="26" t="s">
        <v>211</v>
      </c>
      <c r="B23" s="27">
        <v>4</v>
      </c>
      <c r="C23" s="35">
        <v>361</v>
      </c>
      <c r="D23">
        <f t="shared" si="0"/>
        <v>0.00984545365041331</v>
      </c>
      <c r="E23" s="26" t="s">
        <v>211</v>
      </c>
      <c r="F23" s="27">
        <v>4</v>
      </c>
      <c r="G23">
        <f>数据表!H24</f>
        <v>15</v>
      </c>
      <c r="H23">
        <f t="shared" si="1"/>
        <v>0.00984545365041331</v>
      </c>
      <c r="I23">
        <f t="shared" si="2"/>
        <v>0.0032818178834711</v>
      </c>
      <c r="J23">
        <f t="shared" si="3"/>
        <v>0.0360999967181821</v>
      </c>
      <c r="K23">
        <f>J23/K29</f>
        <v>0.00100268347850104</v>
      </c>
      <c r="L23">
        <f>VLOOKUP(G23,A32:E57,4,0)</f>
        <v>11.0118999545811</v>
      </c>
      <c r="M23">
        <f>VLOOKUP(G23,A32:E57,5,0)</f>
        <v>5.20644078970915</v>
      </c>
      <c r="N23">
        <f t="shared" si="4"/>
        <v>0.0257831893629872</v>
      </c>
      <c r="O23">
        <f t="shared" si="5"/>
        <v>0.0320484287397003</v>
      </c>
      <c r="P23">
        <f t="shared" si="6"/>
        <v>10.7279780528059</v>
      </c>
      <c r="Q23">
        <f t="shared" si="7"/>
        <v>5.03958254307269</v>
      </c>
      <c r="R23">
        <f t="shared" si="8"/>
        <v>0.349943416274825</v>
      </c>
      <c r="S23">
        <f>'倾向-优先级表'!H14</f>
        <v>11</v>
      </c>
      <c r="T23">
        <f t="shared" si="9"/>
        <v>0</v>
      </c>
      <c r="U23">
        <f>T23/T28*100</f>
        <v>0</v>
      </c>
      <c r="V23">
        <f t="shared" si="10"/>
        <v>0.349943416274825</v>
      </c>
      <c r="W23">
        <f>V23/V28</f>
        <v>0.0418488274417453</v>
      </c>
      <c r="X23">
        <f>数据表!N24</f>
        <v>0.33</v>
      </c>
      <c r="Y23">
        <f>数据表!O24</f>
        <v>0.09</v>
      </c>
      <c r="Z23">
        <f>数据表!Q24</f>
        <v>0.023</v>
      </c>
      <c r="AA23">
        <f>数据表!R24</f>
        <v>6375</v>
      </c>
      <c r="AB23">
        <f>Q61</f>
        <v>5.76639930772806e-5</v>
      </c>
      <c r="AC23">
        <f>R61</f>
        <v>0.000226049506367498</v>
      </c>
      <c r="AD23">
        <f>S61</f>
        <v>1.96612252438871e-5</v>
      </c>
      <c r="AE23">
        <f t="shared" si="14"/>
        <v>-0.00157384885554264</v>
      </c>
      <c r="AF23">
        <f t="shared" si="11"/>
        <v>-0.0565405112863081</v>
      </c>
      <c r="AG23">
        <f t="shared" si="12"/>
        <v>-0.00428282201243493</v>
      </c>
      <c r="AH23">
        <f t="shared" si="13"/>
        <v>0.177857516627418</v>
      </c>
    </row>
    <row r="24" ht="15.6" spans="1:34">
      <c r="A24" s="15" t="s">
        <v>213</v>
      </c>
      <c r="B24" s="16">
        <v>6</v>
      </c>
      <c r="C24" s="35">
        <v>1757</v>
      </c>
      <c r="D24">
        <f t="shared" si="0"/>
        <v>0.0479181774619839</v>
      </c>
      <c r="E24" s="15" t="s">
        <v>213</v>
      </c>
      <c r="F24" s="16">
        <v>6</v>
      </c>
      <c r="G24">
        <f>数据表!H25</f>
        <v>23</v>
      </c>
      <c r="H24">
        <f t="shared" si="1"/>
        <v>0.0479181774619839</v>
      </c>
      <c r="I24">
        <f t="shared" si="2"/>
        <v>0.0159727258206613</v>
      </c>
      <c r="J24">
        <f t="shared" si="3"/>
        <v>0.175699984027274</v>
      </c>
      <c r="K24">
        <f>J24/K29</f>
        <v>0.00488009659757987</v>
      </c>
      <c r="L24">
        <f>VLOOKUP(G24,A32:E57,4,0)</f>
        <v>1.21054276355401</v>
      </c>
      <c r="M24">
        <f>VLOOKUP(G24,A32:E57,5,0)</f>
        <v>0.232023793262773</v>
      </c>
      <c r="N24">
        <f t="shared" si="4"/>
        <v>0.116847239045291</v>
      </c>
      <c r="O24">
        <f t="shared" si="5"/>
        <v>0.142011179042858</v>
      </c>
      <c r="P24">
        <f t="shared" si="6"/>
        <v>1.06909418388647</v>
      </c>
      <c r="Q24">
        <f t="shared" si="7"/>
        <v>0.19907382081553</v>
      </c>
      <c r="R24">
        <f t="shared" si="8"/>
        <v>0.160046637597056</v>
      </c>
      <c r="S24">
        <f>'倾向-优先级表'!H14</f>
        <v>11</v>
      </c>
      <c r="T24">
        <f t="shared" si="9"/>
        <v>0</v>
      </c>
      <c r="U24">
        <f>T24/T28*100</f>
        <v>0</v>
      </c>
      <c r="V24">
        <f t="shared" si="10"/>
        <v>0.160046637597056</v>
      </c>
      <c r="W24">
        <f>V24/V28</f>
        <v>0.019139563163465</v>
      </c>
      <c r="X24">
        <f>数据表!N25</f>
        <v>0</v>
      </c>
      <c r="Y24">
        <f>数据表!O25</f>
        <v>0</v>
      </c>
      <c r="Z24">
        <f>数据表!Q25</f>
        <v>0.012</v>
      </c>
      <c r="AA24">
        <f>数据表!R25</f>
        <v>9375</v>
      </c>
      <c r="AB24">
        <f>Q61</f>
        <v>5.76639930772806e-5</v>
      </c>
      <c r="AC24">
        <f>R61</f>
        <v>0.000226049506367498</v>
      </c>
      <c r="AD24">
        <f>S61</f>
        <v>1.96612252438871e-5</v>
      </c>
      <c r="AE24">
        <f t="shared" si="14"/>
        <v>-0.0103468466040021</v>
      </c>
      <c r="AF24">
        <f t="shared" si="11"/>
        <v>-0.0405608325486638</v>
      </c>
      <c r="AG24">
        <f t="shared" si="12"/>
        <v>-0.00329820582728675</v>
      </c>
      <c r="AH24">
        <f t="shared" si="13"/>
        <v>0.119622269771656</v>
      </c>
    </row>
    <row r="25" ht="15.6" spans="1:34">
      <c r="A25" s="7" t="s">
        <v>213</v>
      </c>
      <c r="B25" s="8">
        <v>8</v>
      </c>
      <c r="C25" s="35">
        <v>1244</v>
      </c>
      <c r="D25">
        <f t="shared" si="0"/>
        <v>0.0339272696429755</v>
      </c>
      <c r="E25" s="7" t="s">
        <v>213</v>
      </c>
      <c r="F25" s="8">
        <v>8</v>
      </c>
      <c r="G25">
        <f>数据表!H26</f>
        <v>24</v>
      </c>
      <c r="H25">
        <f t="shared" si="1"/>
        <v>0.0339272696429755</v>
      </c>
      <c r="I25">
        <f t="shared" si="2"/>
        <v>0.0113090898809918</v>
      </c>
      <c r="J25">
        <f t="shared" si="3"/>
        <v>0.12439998869091</v>
      </c>
      <c r="K25">
        <f>J25/K29</f>
        <v>0.00345523060181523</v>
      </c>
      <c r="L25">
        <f>VLOOKUP(G25,A32:E57,4,0)</f>
        <v>0.520782991892338</v>
      </c>
      <c r="M25">
        <f>VLOOKUP(G25,A32:E57,5,0)</f>
        <v>0.0683210935791516</v>
      </c>
      <c r="N25">
        <f t="shared" si="4"/>
        <v>0.0849488670673844</v>
      </c>
      <c r="O25">
        <f t="shared" si="5"/>
        <v>0.104114969083875</v>
      </c>
      <c r="P25">
        <f t="shared" si="6"/>
        <v>0.476543066743121</v>
      </c>
      <c r="Q25">
        <f t="shared" si="7"/>
        <v>0.0612078450333817</v>
      </c>
      <c r="R25">
        <f t="shared" si="8"/>
        <v>0.0498878254074617</v>
      </c>
      <c r="S25">
        <f>'倾向-优先级表'!H14</f>
        <v>11</v>
      </c>
      <c r="T25">
        <f t="shared" si="9"/>
        <v>0</v>
      </c>
      <c r="U25">
        <f>T25/T28*100</f>
        <v>0</v>
      </c>
      <c r="V25">
        <f t="shared" si="10"/>
        <v>0.0498878254074617</v>
      </c>
      <c r="W25">
        <f>V25/V28</f>
        <v>0.00596595592266034</v>
      </c>
      <c r="X25">
        <f>数据表!N26</f>
        <v>0.07</v>
      </c>
      <c r="Y25">
        <f>数据表!O26</f>
        <v>0.01</v>
      </c>
      <c r="Z25">
        <f>数据表!Q26</f>
        <v>0.011</v>
      </c>
      <c r="AA25">
        <f>数据表!R26</f>
        <v>12375</v>
      </c>
      <c r="AB25">
        <f>Q61</f>
        <v>5.76639930772806e-5</v>
      </c>
      <c r="AC25">
        <f>R61</f>
        <v>0.000226049506367498</v>
      </c>
      <c r="AD25">
        <f>S61</f>
        <v>1.96612252438871e-5</v>
      </c>
      <c r="AE25">
        <f t="shared" si="14"/>
        <v>-0.00383964099308141</v>
      </c>
      <c r="AF25">
        <f t="shared" si="11"/>
        <v>-0.0166292826584527</v>
      </c>
      <c r="AG25">
        <f t="shared" si="12"/>
        <v>-0.00138593727433351</v>
      </c>
      <c r="AH25">
        <f t="shared" si="13"/>
        <v>0.0492191363619478</v>
      </c>
    </row>
    <row r="26" ht="16.35" spans="1:34">
      <c r="A26" s="17" t="s">
        <v>213</v>
      </c>
      <c r="B26" s="18">
        <v>12</v>
      </c>
      <c r="C26" s="35">
        <v>452</v>
      </c>
      <c r="D26">
        <f t="shared" si="0"/>
        <v>0.0123272716066117</v>
      </c>
      <c r="E26" s="17" t="s">
        <v>213</v>
      </c>
      <c r="F26" s="18">
        <v>12</v>
      </c>
      <c r="G26">
        <f>数据表!H27</f>
        <v>26</v>
      </c>
      <c r="H26">
        <f t="shared" si="1"/>
        <v>0.0123272716066117</v>
      </c>
      <c r="I26">
        <f t="shared" si="2"/>
        <v>0.00410909053553722</v>
      </c>
      <c r="J26">
        <f t="shared" si="3"/>
        <v>0.0451999958909095</v>
      </c>
      <c r="K26">
        <f>J26/K29</f>
        <v>0.00125543748554702</v>
      </c>
      <c r="L26">
        <f>VLOOKUP(G26,A32:E57,4,0)</f>
        <v>0.117370725298378</v>
      </c>
      <c r="M26">
        <f>VLOOKUP(G26,A32:E57,5,0)</f>
        <v>0.0076501273747331</v>
      </c>
      <c r="N26">
        <f t="shared" si="4"/>
        <v>0.03213478591236</v>
      </c>
      <c r="O26">
        <f t="shared" si="5"/>
        <v>0.0398864211968565</v>
      </c>
      <c r="P26">
        <f t="shared" si="6"/>
        <v>0.113599042168537</v>
      </c>
      <c r="Q26">
        <f t="shared" si="7"/>
        <v>0.0073449911720549</v>
      </c>
      <c r="R26">
        <f t="shared" si="8"/>
        <v>0.00426146120860485</v>
      </c>
      <c r="S26">
        <f>'倾向-优先级表'!H14</f>
        <v>11</v>
      </c>
      <c r="T26">
        <f t="shared" si="9"/>
        <v>0</v>
      </c>
      <c r="U26">
        <f>T26/T28*100</f>
        <v>0</v>
      </c>
      <c r="V26">
        <f t="shared" si="10"/>
        <v>0.00426146120860485</v>
      </c>
      <c r="W26">
        <f>V26/V28</f>
        <v>0.000509617116581329</v>
      </c>
      <c r="X26">
        <f>数据表!N27</f>
        <v>0.07</v>
      </c>
      <c r="Y26">
        <f>数据表!O27</f>
        <v>0.02</v>
      </c>
      <c r="Z26">
        <f>数据表!Q27</f>
        <v>0.009</v>
      </c>
      <c r="AA26">
        <f>数据表!R27</f>
        <v>18375</v>
      </c>
      <c r="AB26">
        <f>Q61</f>
        <v>5.76639930772806e-5</v>
      </c>
      <c r="AC26">
        <f>R61</f>
        <v>0.000226049506367498</v>
      </c>
      <c r="AD26">
        <f>S61</f>
        <v>1.96612252438871e-5</v>
      </c>
      <c r="AE26">
        <f t="shared" si="14"/>
        <v>-0.000504304802932256</v>
      </c>
      <c r="AF26">
        <f t="shared" si="11"/>
        <v>-0.0021065837267967</v>
      </c>
      <c r="AG26">
        <f t="shared" si="12"/>
        <v>-0.000179525376805159</v>
      </c>
      <c r="AH26">
        <f t="shared" si="13"/>
        <v>0.00624280967812128</v>
      </c>
    </row>
    <row r="27" ht="16.35" spans="1:34">
      <c r="A27" s="28" t="s">
        <v>215</v>
      </c>
      <c r="B27" s="29">
        <v>3</v>
      </c>
      <c r="C27" s="41">
        <v>769</v>
      </c>
      <c r="D27">
        <f t="shared" si="0"/>
        <v>0.0209727253661159</v>
      </c>
      <c r="E27" s="28" t="s">
        <v>215</v>
      </c>
      <c r="F27" s="29">
        <v>3</v>
      </c>
      <c r="G27">
        <f>数据表!H28</f>
        <v>19</v>
      </c>
      <c r="H27">
        <f t="shared" si="1"/>
        <v>0.0209727253661159</v>
      </c>
      <c r="I27">
        <f t="shared" si="2"/>
        <v>0.00699090845537196</v>
      </c>
      <c r="J27">
        <f t="shared" si="3"/>
        <v>0.0768999930090915</v>
      </c>
      <c r="K27">
        <f>J27/K29</f>
        <v>0.00213591023536649</v>
      </c>
      <c r="L27">
        <f>VLOOKUP(G27,A32:E57,4,0)</f>
        <v>3.53666845463692</v>
      </c>
      <c r="M27">
        <f>VLOOKUP(G27,A32:E57,5,0)</f>
        <v>1.0691592711092</v>
      </c>
      <c r="N27">
        <f t="shared" si="4"/>
        <v>0.0538013783097837</v>
      </c>
      <c r="O27">
        <f t="shared" si="5"/>
        <v>0.0664453346910167</v>
      </c>
      <c r="P27">
        <f t="shared" si="6"/>
        <v>3.34639081715272</v>
      </c>
      <c r="Q27">
        <f t="shared" si="7"/>
        <v>0.998118625502345</v>
      </c>
      <c r="R27">
        <f t="shared" si="8"/>
        <v>0.224504318604486</v>
      </c>
      <c r="S27">
        <f>'倾向-优先级表'!H14</f>
        <v>11</v>
      </c>
      <c r="T27">
        <f t="shared" si="9"/>
        <v>0</v>
      </c>
      <c r="U27">
        <f>T27/T28*100</f>
        <v>0</v>
      </c>
      <c r="V27">
        <f t="shared" si="10"/>
        <v>0.224504318604486</v>
      </c>
      <c r="W27">
        <f>V27/V28</f>
        <v>0.0268478904081661</v>
      </c>
      <c r="X27">
        <f>数据表!N28</f>
        <v>0</v>
      </c>
      <c r="Y27">
        <f>数据表!O28</f>
        <v>0</v>
      </c>
      <c r="Z27">
        <f>数据表!Q28</f>
        <v>0.011</v>
      </c>
      <c r="AA27">
        <f>数据表!R28</f>
        <v>4875</v>
      </c>
      <c r="AB27">
        <f>Q61</f>
        <v>5.76639930772806e-5</v>
      </c>
      <c r="AC27">
        <f>R61</f>
        <v>0.000226049506367498</v>
      </c>
      <c r="AD27">
        <f>S61</f>
        <v>1.96612252438871e-5</v>
      </c>
      <c r="AE27">
        <f t="shared" si="14"/>
        <v>-0.00754726326235088</v>
      </c>
      <c r="AF27">
        <f t="shared" si="11"/>
        <v>-0.0295861428221513</v>
      </c>
      <c r="AG27">
        <f t="shared" si="12"/>
        <v>-0.00227800250612115</v>
      </c>
      <c r="AH27">
        <f t="shared" si="13"/>
        <v>0.0872556438265398</v>
      </c>
    </row>
    <row r="28" spans="1:34">
      <c r="A28" t="s">
        <v>275</v>
      </c>
      <c r="B28">
        <f>IF(F28=5,3,3-'倾向-优先级表'!D8)</f>
        <v>0</v>
      </c>
      <c r="C28">
        <f>SUM(C2:C27)</f>
        <v>35386</v>
      </c>
      <c r="D28">
        <f>B28/C29</f>
        <v>0</v>
      </c>
      <c r="E28">
        <f>B28/C30</f>
        <v>0</v>
      </c>
      <c r="F28">
        <f>'倾向-优先级表'!D8+'倾向-优先级表'!G8</f>
        <v>3</v>
      </c>
      <c r="J28">
        <f>SUM(J2:J27)</f>
        <v>3.45344444129526</v>
      </c>
      <c r="R28">
        <f>SUM(R2:R27)</f>
        <v>93.03176377253</v>
      </c>
      <c r="T28">
        <f>SUM(T2:T27)</f>
        <v>84.6696796314162</v>
      </c>
      <c r="V28">
        <f>SUM(V2:V27)</f>
        <v>8.36208414111375</v>
      </c>
      <c r="W28">
        <f>SUM(W2:W27)</f>
        <v>1</v>
      </c>
      <c r="AC28" s="102" t="s">
        <v>276</v>
      </c>
      <c r="AD28" s="102"/>
      <c r="AE28">
        <f>SUM(AE2:AE27)</f>
        <v>0.122192038938141</v>
      </c>
      <c r="AF28">
        <f>SUM(AF2:AF27)</f>
        <v>-0.994565564533175</v>
      </c>
      <c r="AG28">
        <f>SUM(AG2:AG27)</f>
        <v>-0.103483521242792</v>
      </c>
      <c r="AH28">
        <f>SUM(AH2:AH27)</f>
        <v>2.77524025008638</v>
      </c>
    </row>
    <row r="29" spans="1:33">
      <c r="A29" t="s">
        <v>277</v>
      </c>
      <c r="B29">
        <f>IF(F28=5,2,2-'倾向-优先级表'!G8)</f>
        <v>2</v>
      </c>
      <c r="C29">
        <f>B28+B29</f>
        <v>2</v>
      </c>
      <c r="D29">
        <f>B29/C29</f>
        <v>1</v>
      </c>
      <c r="E29">
        <f>B29/C30</f>
        <v>0.153846153846154</v>
      </c>
      <c r="J29">
        <f>(J28*10000-30000)/5386/3</f>
        <v>0.280631539358373</v>
      </c>
      <c r="K29">
        <f>J28/0.09592</f>
        <v>36.0033824155052</v>
      </c>
      <c r="S29">
        <f>T28/R28</f>
        <v>0.910115816340323</v>
      </c>
      <c r="T29">
        <f>R28-T28</f>
        <v>8.36208414111377</v>
      </c>
      <c r="U29">
        <f>T29/R28</f>
        <v>0.089884183659677</v>
      </c>
      <c r="X29">
        <f>U29*'倾向-优先级表'!D30-'倾向-优先级表'!H33</f>
        <v>0.241452207737963</v>
      </c>
      <c r="AC29" t="s">
        <v>278</v>
      </c>
      <c r="AE29">
        <f>X29*AE28</f>
        <v>0.0295035375696172</v>
      </c>
      <c r="AF29">
        <f>X29*AF28</f>
        <v>-0.240140051296689</v>
      </c>
      <c r="AG29">
        <f>X29*AG28</f>
        <v>-0.0249863246685706</v>
      </c>
    </row>
    <row r="30" ht="15.15" spans="1:4">
      <c r="A30" t="s">
        <v>279</v>
      </c>
      <c r="B30">
        <f>IF(('倾向-优先级表'!K8+B28+B29)=16,11,11-'倾向-优先级表'!K8)</f>
        <v>11</v>
      </c>
      <c r="C30">
        <f>SUM(B28:B30)</f>
        <v>13</v>
      </c>
      <c r="D30" t="s">
        <v>280</v>
      </c>
    </row>
    <row r="31" ht="16.35" spans="1:28">
      <c r="A31" s="34" t="s">
        <v>281</v>
      </c>
      <c r="B31" s="42" t="s">
        <v>282</v>
      </c>
      <c r="C31" s="43" t="s">
        <v>283</v>
      </c>
      <c r="D31" t="s">
        <v>282</v>
      </c>
      <c r="E31" t="s">
        <v>283</v>
      </c>
      <c r="G31" s="1" t="s">
        <v>34</v>
      </c>
      <c r="H31" s="2"/>
      <c r="I31" s="50" t="s">
        <v>284</v>
      </c>
      <c r="J31" s="50" t="s">
        <v>285</v>
      </c>
      <c r="K31" s="51" t="s">
        <v>286</v>
      </c>
      <c r="L31" s="52" t="s">
        <v>266</v>
      </c>
      <c r="M31" s="43" t="s">
        <v>287</v>
      </c>
      <c r="N31" s="1" t="s">
        <v>168</v>
      </c>
      <c r="O31" s="53"/>
      <c r="P31" s="2"/>
      <c r="Q31" s="86" t="s">
        <v>288</v>
      </c>
      <c r="R31" s="87"/>
      <c r="S31" s="87"/>
      <c r="U31" s="88"/>
      <c r="V31" s="34" t="s">
        <v>289</v>
      </c>
      <c r="W31" s="99" t="s">
        <v>290</v>
      </c>
      <c r="X31" s="89" t="s">
        <v>291</v>
      </c>
      <c r="Y31" s="90"/>
      <c r="Z31" s="50" t="s">
        <v>292</v>
      </c>
      <c r="AA31" s="51"/>
      <c r="AB31" s="115"/>
    </row>
    <row r="32" ht="16.35" spans="1:28">
      <c r="A32" s="35">
        <v>1</v>
      </c>
      <c r="B32">
        <v>0</v>
      </c>
      <c r="C32" s="44">
        <v>0</v>
      </c>
      <c r="D32">
        <f>(1-B32)^2*(1-C32)^2*100</f>
        <v>100</v>
      </c>
      <c r="E32">
        <f>(1-B32)^3*(1-C32)*100</f>
        <v>100</v>
      </c>
      <c r="G32" s="45" t="s">
        <v>171</v>
      </c>
      <c r="H32" s="4" t="s">
        <v>172</v>
      </c>
      <c r="I32" s="54"/>
      <c r="J32" s="54"/>
      <c r="K32" s="55"/>
      <c r="L32" s="56"/>
      <c r="M32" s="47"/>
      <c r="N32" s="57" t="s">
        <v>23</v>
      </c>
      <c r="O32" s="58" t="s">
        <v>28</v>
      </c>
      <c r="P32" s="59" t="s">
        <v>175</v>
      </c>
      <c r="Q32" s="91" t="s">
        <v>23</v>
      </c>
      <c r="R32" s="92" t="s">
        <v>28</v>
      </c>
      <c r="S32" s="93" t="s">
        <v>175</v>
      </c>
      <c r="T32" t="s">
        <v>293</v>
      </c>
      <c r="U32" s="49" t="s">
        <v>294</v>
      </c>
      <c r="V32" s="41"/>
      <c r="W32" s="105"/>
      <c r="X32" s="57" t="s">
        <v>64</v>
      </c>
      <c r="Y32" s="116" t="s">
        <v>63</v>
      </c>
      <c r="Z32" s="31" t="s">
        <v>64</v>
      </c>
      <c r="AA32" s="85" t="s">
        <v>63</v>
      </c>
      <c r="AB32" t="s">
        <v>65</v>
      </c>
    </row>
    <row r="33" ht="16.35" spans="1:30">
      <c r="A33" s="35">
        <v>2</v>
      </c>
      <c r="B33">
        <f>VLOOKUP(1,G2:I27,2,0)</f>
        <v>0.0119454534595042</v>
      </c>
      <c r="C33" s="44">
        <f>VLOOKUP(1,G2:I27,3,0)</f>
        <v>0.00398181781983474</v>
      </c>
      <c r="D33">
        <f t="shared" ref="D33:D57" si="15">(1-B33)^2*(1-C33)^2*100</f>
        <v>96.8492751763828</v>
      </c>
      <c r="E33">
        <f t="shared" ref="E33:E57" si="16">(1-B33)^3*(1-C33)*100</f>
        <v>96.0749194936557</v>
      </c>
      <c r="G33" s="5" t="s">
        <v>183</v>
      </c>
      <c r="H33" s="6">
        <v>1</v>
      </c>
      <c r="I33" s="34">
        <f>U2</f>
        <v>0</v>
      </c>
      <c r="J33" s="34">
        <f>数据表!T3</f>
        <v>5466.34285714286</v>
      </c>
      <c r="K33" s="42">
        <f t="shared" ref="K33:K58" si="17">J33*I33</f>
        <v>0</v>
      </c>
      <c r="L33" s="34">
        <f>数据表!R3</f>
        <v>5775</v>
      </c>
      <c r="M33" s="43">
        <f t="shared" ref="M33:M58" si="18">I33*L33</f>
        <v>0</v>
      </c>
      <c r="N33" s="60">
        <v>2.8</v>
      </c>
      <c r="O33" s="61">
        <v>0.71</v>
      </c>
      <c r="P33" s="62">
        <v>0</v>
      </c>
      <c r="Q33">
        <f t="shared" ref="Q33:Q58" si="19">N33*I33*H33</f>
        <v>0</v>
      </c>
      <c r="R33" s="96">
        <f t="shared" ref="R33:R58" si="20">O33*I33*H33</f>
        <v>0</v>
      </c>
      <c r="S33">
        <f t="shared" ref="S33:S58" si="21">P33*I33*H33</f>
        <v>0</v>
      </c>
      <c r="T33">
        <f>I33*AD33</f>
        <v>0</v>
      </c>
      <c r="U33">
        <f>AB33*I33</f>
        <v>0</v>
      </c>
      <c r="V33" s="35">
        <f>数据表!G3+数据表!F32</f>
        <v>1.25</v>
      </c>
      <c r="W33" s="106">
        <f t="shared" ref="W33:W58" si="22">I33*V33</f>
        <v>0</v>
      </c>
      <c r="X33" s="107">
        <v>0</v>
      </c>
      <c r="Y33" s="117">
        <v>3</v>
      </c>
      <c r="Z33" s="35">
        <f t="shared" ref="Z33:Z58" si="23">X33*I33</f>
        <v>0</v>
      </c>
      <c r="AA33" s="44">
        <f t="shared" ref="AA33:AA58" si="24">Y33*I33</f>
        <v>0</v>
      </c>
      <c r="AB33">
        <f>数据表!P3*H33</f>
        <v>40</v>
      </c>
      <c r="AD33">
        <v>0</v>
      </c>
    </row>
    <row r="34" ht="16.35" spans="1:30">
      <c r="A34" s="35">
        <v>3</v>
      </c>
      <c r="B34">
        <f>VLOOKUP(2,G2:I27,2,0)+B33</f>
        <v>0.0154636349578513</v>
      </c>
      <c r="C34" s="44">
        <f>VLOOKUP(2,G2:I27,3,0)+C33</f>
        <v>0.00452307651188815</v>
      </c>
      <c r="D34">
        <f t="shared" si="15"/>
        <v>96.0563141126802</v>
      </c>
      <c r="E34">
        <f t="shared" si="16"/>
        <v>95.0006294515319</v>
      </c>
      <c r="G34" s="7" t="s">
        <v>183</v>
      </c>
      <c r="H34" s="8">
        <v>2</v>
      </c>
      <c r="I34" s="34">
        <f t="shared" ref="I34:I58" si="25">U3</f>
        <v>0</v>
      </c>
      <c r="J34" s="35">
        <f>数据表!T4</f>
        <v>7965.66857142857</v>
      </c>
      <c r="K34" s="104">
        <f t="shared" si="17"/>
        <v>0</v>
      </c>
      <c r="L34" s="35">
        <f>数据表!R4</f>
        <v>11175</v>
      </c>
      <c r="M34" s="44">
        <f t="shared" si="18"/>
        <v>0</v>
      </c>
      <c r="N34" s="63">
        <v>1.96</v>
      </c>
      <c r="O34" s="64">
        <v>0.54</v>
      </c>
      <c r="P34" s="65">
        <v>0</v>
      </c>
      <c r="Q34">
        <f t="shared" si="19"/>
        <v>0</v>
      </c>
      <c r="R34" s="96">
        <f t="shared" si="20"/>
        <v>0</v>
      </c>
      <c r="S34">
        <f t="shared" si="21"/>
        <v>0</v>
      </c>
      <c r="T34">
        <f t="shared" ref="T34:T58" si="26">I34*AD34</f>
        <v>0</v>
      </c>
      <c r="U34">
        <f t="shared" ref="U34:U58" si="27">AB34*I34</f>
        <v>0</v>
      </c>
      <c r="V34" s="35">
        <f>数据表!G4+数据表!F32</f>
        <v>2.25</v>
      </c>
      <c r="W34" s="106">
        <f t="shared" si="22"/>
        <v>0</v>
      </c>
      <c r="X34" s="108">
        <v>0</v>
      </c>
      <c r="Y34" s="118">
        <v>6</v>
      </c>
      <c r="Z34" s="35">
        <f t="shared" si="23"/>
        <v>0</v>
      </c>
      <c r="AA34" s="44">
        <f t="shared" si="24"/>
        <v>0</v>
      </c>
      <c r="AB34">
        <f>数据表!P4*H34</f>
        <v>60.32</v>
      </c>
      <c r="AD34">
        <v>0</v>
      </c>
    </row>
    <row r="35" ht="16.35" spans="1:30">
      <c r="A35" s="35">
        <v>4</v>
      </c>
      <c r="B35">
        <f>VLOOKUP(3,G2:I27,2,0)+B34</f>
        <v>0.0154636349578513</v>
      </c>
      <c r="C35" s="44">
        <f>VLOOKUP(3,G2:I27,3,0)+C34</f>
        <v>0.00452307651188815</v>
      </c>
      <c r="D35">
        <f t="shared" si="15"/>
        <v>96.0563141126802</v>
      </c>
      <c r="E35">
        <f t="shared" si="16"/>
        <v>95.0006294515319</v>
      </c>
      <c r="G35" s="9" t="s">
        <v>183</v>
      </c>
      <c r="H35" s="10">
        <v>4</v>
      </c>
      <c r="I35" s="34">
        <f t="shared" si="25"/>
        <v>0</v>
      </c>
      <c r="J35" s="35">
        <f>数据表!T5</f>
        <v>10403.2457142857</v>
      </c>
      <c r="K35" s="104">
        <f t="shared" si="17"/>
        <v>0</v>
      </c>
      <c r="L35" s="35">
        <f>数据表!R5</f>
        <v>19375</v>
      </c>
      <c r="M35" s="44">
        <f t="shared" si="18"/>
        <v>0</v>
      </c>
      <c r="N35" s="66">
        <v>1.395</v>
      </c>
      <c r="O35" s="67">
        <v>0.31</v>
      </c>
      <c r="P35" s="65">
        <v>0</v>
      </c>
      <c r="Q35">
        <f t="shared" si="19"/>
        <v>0</v>
      </c>
      <c r="R35" s="96">
        <f t="shared" si="20"/>
        <v>0</v>
      </c>
      <c r="S35">
        <f t="shared" si="21"/>
        <v>0</v>
      </c>
      <c r="T35">
        <f t="shared" si="26"/>
        <v>0</v>
      </c>
      <c r="U35">
        <f t="shared" si="27"/>
        <v>0</v>
      </c>
      <c r="V35" s="35">
        <f>数据表!G5+数据表!F32</f>
        <v>4.25</v>
      </c>
      <c r="W35" s="106">
        <f t="shared" si="22"/>
        <v>0</v>
      </c>
      <c r="X35" s="108">
        <v>0</v>
      </c>
      <c r="Y35" s="118">
        <v>10</v>
      </c>
      <c r="Z35" s="35">
        <f t="shared" si="23"/>
        <v>0</v>
      </c>
      <c r="AA35" s="44">
        <f t="shared" si="24"/>
        <v>0</v>
      </c>
      <c r="AB35">
        <f>数据表!P5*H35</f>
        <v>83.08</v>
      </c>
      <c r="AD35">
        <v>0</v>
      </c>
    </row>
    <row r="36" ht="16.35" spans="1:30">
      <c r="A36" s="35">
        <v>5</v>
      </c>
      <c r="B36">
        <f>VLOOKUP(4,G2:I27,2,0)+B35</f>
        <v>0.146836350287604</v>
      </c>
      <c r="C36" s="44">
        <f>VLOOKUP(4,G2:I27,3,0)+C35</f>
        <v>0.0247342634856963</v>
      </c>
      <c r="D36">
        <f t="shared" si="15"/>
        <v>69.2325965694092</v>
      </c>
      <c r="E36">
        <f t="shared" si="16"/>
        <v>60.5647594873305</v>
      </c>
      <c r="G36" s="11" t="s">
        <v>187</v>
      </c>
      <c r="H36" s="12">
        <v>0.5</v>
      </c>
      <c r="I36" s="34">
        <f t="shared" si="25"/>
        <v>0</v>
      </c>
      <c r="J36" s="41">
        <f>数据表!T6</f>
        <v>9101.59714285714</v>
      </c>
      <c r="K36" s="46">
        <f t="shared" si="17"/>
        <v>0</v>
      </c>
      <c r="L36" s="41">
        <f>数据表!R6</f>
        <v>7625</v>
      </c>
      <c r="M36" s="47">
        <f t="shared" si="18"/>
        <v>0</v>
      </c>
      <c r="N36" s="60">
        <v>9.78</v>
      </c>
      <c r="O36" s="61">
        <v>1.97</v>
      </c>
      <c r="P36" s="68">
        <v>0</v>
      </c>
      <c r="Q36">
        <f t="shared" si="19"/>
        <v>0</v>
      </c>
      <c r="R36" s="96">
        <f t="shared" si="20"/>
        <v>0</v>
      </c>
      <c r="S36">
        <f t="shared" si="21"/>
        <v>0</v>
      </c>
      <c r="T36">
        <f t="shared" si="26"/>
        <v>0</v>
      </c>
      <c r="U36">
        <f t="shared" si="27"/>
        <v>0</v>
      </c>
      <c r="V36" s="35">
        <f>数据表!G6+数据表!F32</f>
        <v>0.75</v>
      </c>
      <c r="W36" s="106">
        <f t="shared" si="22"/>
        <v>0</v>
      </c>
      <c r="X36" s="109">
        <v>8000</v>
      </c>
      <c r="Y36" s="119">
        <v>5</v>
      </c>
      <c r="Z36" s="35">
        <f t="shared" si="23"/>
        <v>0</v>
      </c>
      <c r="AA36" s="44">
        <f t="shared" si="24"/>
        <v>0</v>
      </c>
      <c r="AB36">
        <f>数据表!P6*H36</f>
        <v>97.245</v>
      </c>
      <c r="AD36">
        <v>0</v>
      </c>
    </row>
    <row r="37" ht="16.35" spans="1:30">
      <c r="A37" s="35">
        <v>6</v>
      </c>
      <c r="B37">
        <f>VLOOKUP(5,G2:I27,2,0)+B36</f>
        <v>0.233372706057027</v>
      </c>
      <c r="C37" s="44">
        <f>VLOOKUP(5,G2:I27,3,0)+C36</f>
        <v>0.053579715408837</v>
      </c>
      <c r="D37">
        <f t="shared" si="15"/>
        <v>52.642515576436</v>
      </c>
      <c r="E37">
        <f t="shared" si="16"/>
        <v>42.6419318349115</v>
      </c>
      <c r="G37" s="13" t="s">
        <v>189</v>
      </c>
      <c r="H37" s="14">
        <v>1</v>
      </c>
      <c r="I37" s="34">
        <f t="shared" si="25"/>
        <v>20.237906120359</v>
      </c>
      <c r="J37" s="34">
        <f>数据表!T7</f>
        <v>2366.74285714286</v>
      </c>
      <c r="K37" s="42">
        <f t="shared" si="17"/>
        <v>47897.9197538874</v>
      </c>
      <c r="L37" s="34">
        <f>数据表!R7</f>
        <v>1875</v>
      </c>
      <c r="M37" s="43">
        <f t="shared" si="18"/>
        <v>37946.0739756731</v>
      </c>
      <c r="N37" s="69">
        <v>0</v>
      </c>
      <c r="O37" s="70">
        <v>0</v>
      </c>
      <c r="P37" s="71">
        <v>0.052</v>
      </c>
      <c r="Q37" s="34">
        <f t="shared" si="19"/>
        <v>0</v>
      </c>
      <c r="R37" s="110">
        <f t="shared" si="20"/>
        <v>0</v>
      </c>
      <c r="S37" s="42">
        <f t="shared" si="21"/>
        <v>1.05237111825867</v>
      </c>
      <c r="T37">
        <f t="shared" si="26"/>
        <v>8.90467869295795</v>
      </c>
      <c r="U37" s="43">
        <f t="shared" si="27"/>
        <v>0</v>
      </c>
      <c r="V37" s="35">
        <f>数据表!G7+数据表!F32</f>
        <v>1.25</v>
      </c>
      <c r="W37" s="99">
        <f t="shared" si="22"/>
        <v>25.2973826504487</v>
      </c>
      <c r="X37" s="111">
        <v>0</v>
      </c>
      <c r="Y37" s="120">
        <v>0</v>
      </c>
      <c r="Z37" s="34">
        <f t="shared" si="23"/>
        <v>0</v>
      </c>
      <c r="AA37" s="43">
        <f t="shared" si="24"/>
        <v>0</v>
      </c>
      <c r="AB37">
        <f>数据表!P7*H37</f>
        <v>0</v>
      </c>
      <c r="AD37">
        <v>0.44</v>
      </c>
    </row>
    <row r="38" ht="16.35" spans="1:30">
      <c r="A38" s="35">
        <v>7</v>
      </c>
      <c r="B38">
        <f>VLOOKUP(6,G2:I27,2,0)+B37</f>
        <v>0.256854522104134</v>
      </c>
      <c r="C38" s="44">
        <f>VLOOKUP(6,G2:I27,3,0)+C37</f>
        <v>0.0614069874245396</v>
      </c>
      <c r="D38">
        <f t="shared" si="15"/>
        <v>48.6521808392142</v>
      </c>
      <c r="E38">
        <f t="shared" si="16"/>
        <v>38.521113726624</v>
      </c>
      <c r="G38" s="15" t="s">
        <v>189</v>
      </c>
      <c r="H38" s="16">
        <v>2</v>
      </c>
      <c r="I38" s="34">
        <f t="shared" si="25"/>
        <v>7.81342722273852</v>
      </c>
      <c r="J38" s="35">
        <f>数据表!T8</f>
        <v>4278.34285714286</v>
      </c>
      <c r="K38" s="104">
        <f t="shared" si="17"/>
        <v>33428.5205482089</v>
      </c>
      <c r="L38" s="35">
        <f>数据表!R8</f>
        <v>3375</v>
      </c>
      <c r="M38" s="44">
        <f t="shared" si="18"/>
        <v>26370.3168767425</v>
      </c>
      <c r="N38" s="66">
        <v>0</v>
      </c>
      <c r="O38" s="67">
        <v>0</v>
      </c>
      <c r="P38" s="72">
        <v>0.047</v>
      </c>
      <c r="Q38" s="35">
        <f t="shared" si="19"/>
        <v>0</v>
      </c>
      <c r="R38" s="96">
        <f t="shared" si="20"/>
        <v>0</v>
      </c>
      <c r="S38">
        <f t="shared" si="21"/>
        <v>0.734462158937421</v>
      </c>
      <c r="T38">
        <f t="shared" si="26"/>
        <v>6.17260750596343</v>
      </c>
      <c r="U38" s="44">
        <f t="shared" si="27"/>
        <v>0</v>
      </c>
      <c r="V38" s="35">
        <f>数据表!G8+数据表!F32</f>
        <v>2.25</v>
      </c>
      <c r="W38" s="106">
        <f t="shared" si="22"/>
        <v>17.5802112511617</v>
      </c>
      <c r="X38" s="108">
        <v>0</v>
      </c>
      <c r="Y38" s="118">
        <v>0</v>
      </c>
      <c r="Z38" s="35">
        <f t="shared" si="23"/>
        <v>0</v>
      </c>
      <c r="AA38" s="44">
        <f t="shared" si="24"/>
        <v>0</v>
      </c>
      <c r="AB38">
        <f>数据表!P8*H38</f>
        <v>0</v>
      </c>
      <c r="AD38">
        <v>0.79</v>
      </c>
    </row>
    <row r="39" ht="16.35" spans="1:30">
      <c r="A39" s="35">
        <v>8</v>
      </c>
      <c r="B39">
        <f>VLOOKUP(7,G2:I27,2,0)+B38</f>
        <v>0.300163609076035</v>
      </c>
      <c r="C39" s="44">
        <f>VLOOKUP(7,G2:I27,3,0)+C38</f>
        <v>0.0758433497485067</v>
      </c>
      <c r="D39">
        <f t="shared" si="15"/>
        <v>41.8296498804042</v>
      </c>
      <c r="E39">
        <f t="shared" si="16"/>
        <v>31.6763518370492</v>
      </c>
      <c r="G39" s="7" t="s">
        <v>189</v>
      </c>
      <c r="H39" s="8">
        <v>4</v>
      </c>
      <c r="I39" s="34">
        <f t="shared" si="25"/>
        <v>4.84738214153445</v>
      </c>
      <c r="J39" s="35">
        <f>数据表!T9</f>
        <v>9284.91428571429</v>
      </c>
      <c r="K39" s="104">
        <f t="shared" si="17"/>
        <v>45007.5276942496</v>
      </c>
      <c r="L39" s="35">
        <f>数据表!R9</f>
        <v>6375</v>
      </c>
      <c r="M39" s="44">
        <f t="shared" si="18"/>
        <v>30902.0611522821</v>
      </c>
      <c r="N39" s="60">
        <v>0</v>
      </c>
      <c r="O39" s="61">
        <v>0</v>
      </c>
      <c r="P39" s="72">
        <v>0.051</v>
      </c>
      <c r="Q39" s="35">
        <f t="shared" si="19"/>
        <v>0</v>
      </c>
      <c r="R39" s="96">
        <f t="shared" si="20"/>
        <v>0</v>
      </c>
      <c r="S39">
        <f t="shared" si="21"/>
        <v>0.988865956873028</v>
      </c>
      <c r="T39">
        <f t="shared" si="26"/>
        <v>6.78633499814823</v>
      </c>
      <c r="U39" s="44">
        <f t="shared" si="27"/>
        <v>0</v>
      </c>
      <c r="V39" s="35">
        <f>数据表!G9+数据表!F32</f>
        <v>4.25</v>
      </c>
      <c r="W39" s="106">
        <f t="shared" si="22"/>
        <v>20.6013741015214</v>
      </c>
      <c r="X39" s="108">
        <v>0</v>
      </c>
      <c r="Y39" s="118">
        <v>0</v>
      </c>
      <c r="Z39" s="35">
        <f t="shared" si="23"/>
        <v>0</v>
      </c>
      <c r="AA39" s="44">
        <f t="shared" si="24"/>
        <v>0</v>
      </c>
      <c r="AB39">
        <f>数据表!P9*H39</f>
        <v>0</v>
      </c>
      <c r="AD39">
        <v>1.4</v>
      </c>
    </row>
    <row r="40" ht="16.35" spans="1:30">
      <c r="A40" s="35">
        <v>9</v>
      </c>
      <c r="B40">
        <f>VLOOKUP(8,G2:I27,2,0)+B39</f>
        <v>0.393872691466119</v>
      </c>
      <c r="C40" s="44">
        <f>VLOOKUP(8,G2:I27,3,0)+C39</f>
        <v>0.107079710545201</v>
      </c>
      <c r="D40">
        <f t="shared" si="15"/>
        <v>29.2922738163652</v>
      </c>
      <c r="E40">
        <f t="shared" si="16"/>
        <v>19.8840224584792</v>
      </c>
      <c r="G40" s="17" t="s">
        <v>189</v>
      </c>
      <c r="H40" s="18">
        <v>0.5</v>
      </c>
      <c r="I40" s="34">
        <f t="shared" si="25"/>
        <v>5.00476616089196</v>
      </c>
      <c r="J40" s="41">
        <f>数据表!T10</f>
        <v>18569.8285714286</v>
      </c>
      <c r="K40" s="46">
        <f t="shared" si="17"/>
        <v>92937.6496478506</v>
      </c>
      <c r="L40" s="41">
        <f>数据表!R10</f>
        <v>1125</v>
      </c>
      <c r="M40" s="47">
        <f t="shared" si="18"/>
        <v>5630.36193100346</v>
      </c>
      <c r="N40" s="73">
        <v>0</v>
      </c>
      <c r="O40" s="74">
        <v>0</v>
      </c>
      <c r="P40" s="75">
        <v>0.816</v>
      </c>
      <c r="Q40" s="41">
        <f t="shared" si="19"/>
        <v>0</v>
      </c>
      <c r="R40" s="112">
        <f t="shared" si="20"/>
        <v>0</v>
      </c>
      <c r="S40" s="46">
        <f t="shared" si="21"/>
        <v>2.04194459364392</v>
      </c>
      <c r="T40">
        <f t="shared" si="26"/>
        <v>17.0162049470327</v>
      </c>
      <c r="U40" s="47">
        <f t="shared" si="27"/>
        <v>0</v>
      </c>
      <c r="V40" s="35">
        <f>数据表!G10+数据表!F32</f>
        <v>0.75</v>
      </c>
      <c r="W40" s="105">
        <f t="shared" si="22"/>
        <v>3.75357462066897</v>
      </c>
      <c r="X40" s="113">
        <v>5000</v>
      </c>
      <c r="Y40" s="121">
        <v>0</v>
      </c>
      <c r="Z40" s="41">
        <f t="shared" si="23"/>
        <v>25023.8308044598</v>
      </c>
      <c r="AA40" s="47">
        <f t="shared" si="24"/>
        <v>0</v>
      </c>
      <c r="AB40">
        <f>数据表!P10*H40</f>
        <v>0</v>
      </c>
      <c r="AD40">
        <v>3.4</v>
      </c>
    </row>
    <row r="41" ht="16.35" spans="1:30">
      <c r="A41" s="35">
        <v>10</v>
      </c>
      <c r="B41">
        <f>VLOOKUP(9,G2:I27,2,0)+B40</f>
        <v>0.442772687020665</v>
      </c>
      <c r="C41" s="44">
        <f>VLOOKUP(9,G2:I27,3,0)+C40</f>
        <v>0.123379709063383</v>
      </c>
      <c r="D41">
        <f t="shared" si="15"/>
        <v>23.8609554069342</v>
      </c>
      <c r="E41">
        <f t="shared" si="16"/>
        <v>15.1673149754722</v>
      </c>
      <c r="G41" s="19" t="s">
        <v>194</v>
      </c>
      <c r="H41" s="6">
        <v>2.5</v>
      </c>
      <c r="I41" s="34">
        <f t="shared" si="25"/>
        <v>0</v>
      </c>
      <c r="J41" s="35">
        <f>数据表!T11</f>
        <v>3919.28571428571</v>
      </c>
      <c r="K41" s="104">
        <f t="shared" si="17"/>
        <v>0</v>
      </c>
      <c r="L41" s="34">
        <f>数据表!R11</f>
        <v>4125</v>
      </c>
      <c r="M41" s="43">
        <f t="shared" si="18"/>
        <v>0</v>
      </c>
      <c r="N41" s="76">
        <v>0.92</v>
      </c>
      <c r="O41" s="77">
        <v>0</v>
      </c>
      <c r="P41" s="62">
        <v>0.014</v>
      </c>
      <c r="Q41">
        <f t="shared" si="19"/>
        <v>0</v>
      </c>
      <c r="R41" s="96">
        <f t="shared" si="20"/>
        <v>0</v>
      </c>
      <c r="S41">
        <f t="shared" si="21"/>
        <v>0</v>
      </c>
      <c r="T41">
        <f t="shared" si="26"/>
        <v>0</v>
      </c>
      <c r="U41">
        <f t="shared" si="27"/>
        <v>0</v>
      </c>
      <c r="V41" s="35">
        <f>数据表!G11+数据表!F32</f>
        <v>2.75</v>
      </c>
      <c r="W41" s="106">
        <f t="shared" si="22"/>
        <v>0</v>
      </c>
      <c r="X41" s="107">
        <v>3000</v>
      </c>
      <c r="Y41" s="117">
        <v>0</v>
      </c>
      <c r="Z41" s="35">
        <f t="shared" si="23"/>
        <v>0</v>
      </c>
      <c r="AA41" s="44">
        <f t="shared" si="24"/>
        <v>0</v>
      </c>
      <c r="AB41">
        <f>数据表!P11*H41</f>
        <v>0</v>
      </c>
      <c r="AD41">
        <v>0.37</v>
      </c>
    </row>
    <row r="42" ht="16.35" spans="1:30">
      <c r="A42" s="35">
        <v>11</v>
      </c>
      <c r="B42">
        <f>VLOOKUP(10,G2:I27,2,0)+B41</f>
        <v>0.442772687020665</v>
      </c>
      <c r="C42" s="44">
        <f>VLOOKUP(10,G2:I27,3,0)+C41</f>
        <v>0.123379709063383</v>
      </c>
      <c r="D42">
        <f t="shared" si="15"/>
        <v>23.8609554069342</v>
      </c>
      <c r="E42">
        <f t="shared" si="16"/>
        <v>15.1673149754722</v>
      </c>
      <c r="G42" s="7" t="s">
        <v>194</v>
      </c>
      <c r="H42" s="8">
        <v>5</v>
      </c>
      <c r="I42" s="34">
        <f t="shared" si="25"/>
        <v>0</v>
      </c>
      <c r="J42" s="35">
        <f>数据表!T12</f>
        <v>6068.57142857143</v>
      </c>
      <c r="K42" s="104">
        <f t="shared" si="17"/>
        <v>0</v>
      </c>
      <c r="L42" s="35">
        <f>数据表!R12</f>
        <v>7875</v>
      </c>
      <c r="M42" s="44">
        <f t="shared" si="18"/>
        <v>0</v>
      </c>
      <c r="N42" s="60">
        <v>0.75</v>
      </c>
      <c r="O42" s="61">
        <v>0</v>
      </c>
      <c r="P42" s="65">
        <v>0.01</v>
      </c>
      <c r="Q42">
        <f t="shared" si="19"/>
        <v>0</v>
      </c>
      <c r="R42" s="96">
        <f t="shared" si="20"/>
        <v>0</v>
      </c>
      <c r="S42">
        <f t="shared" si="21"/>
        <v>0</v>
      </c>
      <c r="T42">
        <f t="shared" si="26"/>
        <v>0</v>
      </c>
      <c r="U42">
        <f t="shared" si="27"/>
        <v>0</v>
      </c>
      <c r="V42" s="35">
        <f>数据表!G12+数据表!F32</f>
        <v>5.25</v>
      </c>
      <c r="W42" s="106">
        <f t="shared" si="22"/>
        <v>0</v>
      </c>
      <c r="X42" s="108">
        <v>5000</v>
      </c>
      <c r="Y42" s="118">
        <v>0</v>
      </c>
      <c r="Z42" s="35">
        <f t="shared" si="23"/>
        <v>0</v>
      </c>
      <c r="AA42" s="44">
        <f t="shared" si="24"/>
        <v>0</v>
      </c>
      <c r="AB42">
        <f>数据表!P12*H42</f>
        <v>0</v>
      </c>
      <c r="AD42">
        <v>0.66</v>
      </c>
    </row>
    <row r="43" ht="16.35" spans="1:30">
      <c r="A43" s="35">
        <v>12</v>
      </c>
      <c r="B43">
        <f>VLOOKUP(11,G2:I27,2,0)+B42</f>
        <v>0.525572679493393</v>
      </c>
      <c r="C43" s="44">
        <f>VLOOKUP(11,G2:I27,3,0)+C42</f>
        <v>0.136118169443803</v>
      </c>
      <c r="D43">
        <f t="shared" si="15"/>
        <v>16.7976319284303</v>
      </c>
      <c r="E43">
        <f t="shared" si="16"/>
        <v>9.22493705132161</v>
      </c>
      <c r="G43" s="9" t="s">
        <v>194</v>
      </c>
      <c r="H43" s="10">
        <v>8</v>
      </c>
      <c r="I43" s="34">
        <f t="shared" si="25"/>
        <v>0</v>
      </c>
      <c r="J43" s="35">
        <f>数据表!T13</f>
        <v>10073.8285714286</v>
      </c>
      <c r="K43" s="104">
        <f t="shared" si="17"/>
        <v>0</v>
      </c>
      <c r="L43" s="35">
        <f>数据表!R13</f>
        <v>12375</v>
      </c>
      <c r="M43" s="44">
        <f t="shared" si="18"/>
        <v>0</v>
      </c>
      <c r="N43" s="63">
        <v>0.75</v>
      </c>
      <c r="O43" s="64">
        <v>0</v>
      </c>
      <c r="P43" s="78">
        <v>0.011</v>
      </c>
      <c r="Q43">
        <f t="shared" si="19"/>
        <v>0</v>
      </c>
      <c r="R43" s="96">
        <f t="shared" si="20"/>
        <v>0</v>
      </c>
      <c r="S43">
        <f t="shared" si="21"/>
        <v>0</v>
      </c>
      <c r="T43">
        <f t="shared" si="26"/>
        <v>0</v>
      </c>
      <c r="U43">
        <f t="shared" si="27"/>
        <v>0</v>
      </c>
      <c r="V43" s="35">
        <f>数据表!G13+数据表!F32</f>
        <v>8.25</v>
      </c>
      <c r="W43" s="106">
        <f t="shared" si="22"/>
        <v>0</v>
      </c>
      <c r="X43" s="108">
        <v>8000</v>
      </c>
      <c r="Y43" s="118">
        <v>0</v>
      </c>
      <c r="Z43" s="35">
        <f t="shared" si="23"/>
        <v>0</v>
      </c>
      <c r="AA43" s="44">
        <f t="shared" si="24"/>
        <v>0</v>
      </c>
      <c r="AB43">
        <f>数据表!P13*H43</f>
        <v>0</v>
      </c>
      <c r="AD43">
        <v>0.9</v>
      </c>
    </row>
    <row r="44" ht="16.35" spans="1:30">
      <c r="A44" s="35">
        <v>13</v>
      </c>
      <c r="B44">
        <f>VLOOKUP(12,G2:I27,2,0)+B43</f>
        <v>0.589554491858682</v>
      </c>
      <c r="C44" s="44">
        <f>VLOOKUP(12,G2:I27,3,0)+C43</f>
        <v>0.157445440232233</v>
      </c>
      <c r="D44">
        <f t="shared" si="15"/>
        <v>11.9593363642186</v>
      </c>
      <c r="E44">
        <f t="shared" si="16"/>
        <v>5.82592051059295</v>
      </c>
      <c r="G44" s="9" t="s">
        <v>194</v>
      </c>
      <c r="H44" s="10">
        <v>0.5</v>
      </c>
      <c r="I44" s="34">
        <f t="shared" si="25"/>
        <v>0</v>
      </c>
      <c r="J44" s="35">
        <f>数据表!T14</f>
        <v>14594.9142857143</v>
      </c>
      <c r="K44" s="104">
        <f t="shared" si="17"/>
        <v>0</v>
      </c>
      <c r="L44" s="35">
        <f>数据表!R14</f>
        <v>7625</v>
      </c>
      <c r="M44" s="44">
        <f t="shared" si="18"/>
        <v>0</v>
      </c>
      <c r="N44" s="66">
        <v>17.61</v>
      </c>
      <c r="O44" s="67">
        <v>0</v>
      </c>
      <c r="P44" s="65">
        <v>0.25</v>
      </c>
      <c r="Q44">
        <f t="shared" si="19"/>
        <v>0</v>
      </c>
      <c r="R44" s="96">
        <f t="shared" si="20"/>
        <v>0</v>
      </c>
      <c r="S44">
        <f t="shared" si="21"/>
        <v>0</v>
      </c>
      <c r="T44">
        <f t="shared" si="26"/>
        <v>0</v>
      </c>
      <c r="U44">
        <f t="shared" si="27"/>
        <v>0</v>
      </c>
      <c r="V44" s="35">
        <f>数据表!G14+数据表!F32</f>
        <v>0.75</v>
      </c>
      <c r="W44" s="106">
        <f t="shared" si="22"/>
        <v>0</v>
      </c>
      <c r="X44" s="108">
        <v>5000</v>
      </c>
      <c r="Y44" s="118">
        <v>5</v>
      </c>
      <c r="Z44" s="35">
        <f t="shared" si="23"/>
        <v>0</v>
      </c>
      <c r="AA44" s="44">
        <f t="shared" si="24"/>
        <v>0</v>
      </c>
      <c r="AB44">
        <f>数据表!P14*H44</f>
        <v>0</v>
      </c>
      <c r="AD44">
        <v>1.39</v>
      </c>
    </row>
    <row r="45" ht="16.35" spans="1:30">
      <c r="A45" s="35">
        <v>14</v>
      </c>
      <c r="B45">
        <f>VLOOKUP(13,G2:I27,2,0)+B44</f>
        <v>0.590754491749591</v>
      </c>
      <c r="C45" s="44">
        <f>VLOOKUP(13,G2:I27,3,0)+C44</f>
        <v>0.157845440195869</v>
      </c>
      <c r="D45">
        <f t="shared" si="15"/>
        <v>11.8782223812705</v>
      </c>
      <c r="E45">
        <f t="shared" si="16"/>
        <v>5.77222921724133</v>
      </c>
      <c r="G45" s="15" t="s">
        <v>199</v>
      </c>
      <c r="H45" s="16">
        <v>2.5</v>
      </c>
      <c r="I45" s="34">
        <f t="shared" si="25"/>
        <v>36.7336414827098</v>
      </c>
      <c r="J45" s="35">
        <f>数据表!T15</f>
        <v>6220.28571428571</v>
      </c>
      <c r="K45" s="104">
        <f t="shared" si="17"/>
        <v>228493.745348593</v>
      </c>
      <c r="L45" s="35">
        <f>数据表!R15</f>
        <v>4125</v>
      </c>
      <c r="M45" s="44">
        <f t="shared" si="18"/>
        <v>151526.271116178</v>
      </c>
      <c r="N45" s="76">
        <v>0</v>
      </c>
      <c r="O45" s="77">
        <v>0.61</v>
      </c>
      <c r="P45" s="65">
        <v>0.014</v>
      </c>
      <c r="Q45">
        <f t="shared" si="19"/>
        <v>0</v>
      </c>
      <c r="R45" s="96">
        <f t="shared" si="20"/>
        <v>56.0188032611325</v>
      </c>
      <c r="S45">
        <f t="shared" si="21"/>
        <v>1.28567745189484</v>
      </c>
      <c r="T45">
        <f t="shared" si="26"/>
        <v>14.3261201782568</v>
      </c>
      <c r="U45">
        <f t="shared" si="27"/>
        <v>0</v>
      </c>
      <c r="V45" s="35">
        <f>数据表!G15+数据表!F32</f>
        <v>2.75</v>
      </c>
      <c r="W45" s="106">
        <f t="shared" si="22"/>
        <v>101.017514077452</v>
      </c>
      <c r="X45" s="108">
        <v>3000</v>
      </c>
      <c r="Y45" s="118">
        <v>0</v>
      </c>
      <c r="Z45" s="35">
        <f t="shared" si="23"/>
        <v>110200.924448129</v>
      </c>
      <c r="AA45" s="44">
        <f t="shared" si="24"/>
        <v>0</v>
      </c>
      <c r="AB45">
        <f>数据表!P15*H45</f>
        <v>0</v>
      </c>
      <c r="AD45">
        <v>0.39</v>
      </c>
    </row>
    <row r="46" ht="16.35" spans="1:30">
      <c r="A46" s="35">
        <v>15</v>
      </c>
      <c r="B46">
        <f>VLOOKUP(14,G2:I27,2,0)+B45</f>
        <v>0.603899945100005</v>
      </c>
      <c r="C46" s="44">
        <f>VLOOKUP(14,G2:I27,3,0)+C45</f>
        <v>0.16222725797934</v>
      </c>
      <c r="D46">
        <f t="shared" si="15"/>
        <v>11.0118999545811</v>
      </c>
      <c r="E46">
        <f t="shared" si="16"/>
        <v>5.20644078970915</v>
      </c>
      <c r="G46" s="7" t="s">
        <v>199</v>
      </c>
      <c r="H46" s="8">
        <v>5</v>
      </c>
      <c r="I46" s="34">
        <f t="shared" si="25"/>
        <v>6.17350071612001</v>
      </c>
      <c r="J46" s="35">
        <f>数据表!T16</f>
        <v>10013.1428571429</v>
      </c>
      <c r="K46" s="104">
        <f t="shared" si="17"/>
        <v>61816.1445991836</v>
      </c>
      <c r="L46" s="35">
        <f>数据表!R16</f>
        <v>7875</v>
      </c>
      <c r="M46" s="44">
        <f t="shared" si="18"/>
        <v>48616.318139445</v>
      </c>
      <c r="N46" s="60">
        <v>0</v>
      </c>
      <c r="O46" s="61">
        <v>0.51</v>
      </c>
      <c r="P46" s="65">
        <v>0.01</v>
      </c>
      <c r="Q46">
        <f t="shared" si="19"/>
        <v>0</v>
      </c>
      <c r="R46" s="96">
        <f t="shared" si="20"/>
        <v>15.742426826106</v>
      </c>
      <c r="S46">
        <f t="shared" si="21"/>
        <v>0.308675035806</v>
      </c>
      <c r="T46">
        <f t="shared" si="26"/>
        <v>3.395425393866</v>
      </c>
      <c r="U46">
        <f t="shared" si="27"/>
        <v>0</v>
      </c>
      <c r="V46" s="35">
        <f>数据表!G16+数据表!F32</f>
        <v>5.25</v>
      </c>
      <c r="W46" s="106">
        <f t="shared" si="22"/>
        <v>32.41087875963</v>
      </c>
      <c r="X46" s="108">
        <v>5000</v>
      </c>
      <c r="Y46" s="118">
        <v>0</v>
      </c>
      <c r="Z46" s="35">
        <f t="shared" si="23"/>
        <v>30867.5035806</v>
      </c>
      <c r="AA46" s="44">
        <f t="shared" si="24"/>
        <v>0</v>
      </c>
      <c r="AB46">
        <f>数据表!P16*H46</f>
        <v>0</v>
      </c>
      <c r="AD46">
        <v>0.55</v>
      </c>
    </row>
    <row r="47" ht="16.35" spans="1:30">
      <c r="A47" s="35">
        <v>16</v>
      </c>
      <c r="B47">
        <f>VLOOKUP(15,G2:I27,2,0)+B46</f>
        <v>0.613745398750418</v>
      </c>
      <c r="C47" s="44">
        <f>VLOOKUP(15,G2:I27,3,0)+C46</f>
        <v>0.165509075862811</v>
      </c>
      <c r="D47">
        <f t="shared" si="15"/>
        <v>10.3894023941326</v>
      </c>
      <c r="E47">
        <f t="shared" si="16"/>
        <v>4.80886533681152</v>
      </c>
      <c r="G47" s="9" t="s">
        <v>199</v>
      </c>
      <c r="H47" s="10">
        <v>8</v>
      </c>
      <c r="I47" s="34">
        <f t="shared" si="25"/>
        <v>0</v>
      </c>
      <c r="J47" s="35">
        <f>数据表!T17</f>
        <v>16385.1428571429</v>
      </c>
      <c r="K47" s="104">
        <f t="shared" si="17"/>
        <v>0</v>
      </c>
      <c r="L47" s="35">
        <f>数据表!R17</f>
        <v>12375</v>
      </c>
      <c r="M47" s="44">
        <f t="shared" si="18"/>
        <v>0</v>
      </c>
      <c r="N47" s="66">
        <v>0</v>
      </c>
      <c r="O47" s="67">
        <v>0.51</v>
      </c>
      <c r="P47" s="65">
        <v>0.011</v>
      </c>
      <c r="Q47">
        <f t="shared" si="19"/>
        <v>0</v>
      </c>
      <c r="R47" s="96">
        <f t="shared" si="20"/>
        <v>0</v>
      </c>
      <c r="S47">
        <f t="shared" si="21"/>
        <v>0</v>
      </c>
      <c r="T47">
        <f t="shared" si="26"/>
        <v>0</v>
      </c>
      <c r="U47">
        <f t="shared" si="27"/>
        <v>0</v>
      </c>
      <c r="V47" s="35">
        <f>数据表!G17+数据表!F32</f>
        <v>8.25</v>
      </c>
      <c r="W47" s="106">
        <f t="shared" si="22"/>
        <v>0</v>
      </c>
      <c r="X47" s="108">
        <v>8000</v>
      </c>
      <c r="Y47" s="118">
        <v>0</v>
      </c>
      <c r="Z47" s="35">
        <f t="shared" si="23"/>
        <v>0</v>
      </c>
      <c r="AA47" s="44">
        <f t="shared" si="24"/>
        <v>0</v>
      </c>
      <c r="AB47">
        <f>数据表!P17*H47</f>
        <v>0</v>
      </c>
      <c r="AD47">
        <v>1.05</v>
      </c>
    </row>
    <row r="48" ht="16.35" spans="1:30">
      <c r="A48" s="35">
        <v>17</v>
      </c>
      <c r="B48">
        <f>VLOOKUP(16,G2:I27,2,0)+B47</f>
        <v>0.633081760628931</v>
      </c>
      <c r="C48" s="44">
        <f>VLOOKUP(16,G2:I27,3,0)+C47</f>
        <v>0.171954529822316</v>
      </c>
      <c r="D48">
        <f t="shared" si="15"/>
        <v>9.23096221402528</v>
      </c>
      <c r="E48">
        <f t="shared" si="16"/>
        <v>4.09036523386116</v>
      </c>
      <c r="G48" s="20" t="s">
        <v>199</v>
      </c>
      <c r="H48" s="21">
        <v>0.5</v>
      </c>
      <c r="I48" s="34">
        <f t="shared" si="25"/>
        <v>1.31900813444649</v>
      </c>
      <c r="J48" s="35">
        <f>数据表!T18</f>
        <v>23546.0571428571</v>
      </c>
      <c r="K48" s="104">
        <f t="shared" si="17"/>
        <v>31057.4409055705</v>
      </c>
      <c r="L48" s="41">
        <f>数据表!R18</f>
        <v>7625</v>
      </c>
      <c r="M48" s="47">
        <f t="shared" si="18"/>
        <v>10057.4370251545</v>
      </c>
      <c r="N48" s="60">
        <v>0</v>
      </c>
      <c r="O48" s="61">
        <v>11.77</v>
      </c>
      <c r="P48" s="68">
        <v>0.25</v>
      </c>
      <c r="Q48">
        <f t="shared" si="19"/>
        <v>0</v>
      </c>
      <c r="R48" s="96">
        <f t="shared" si="20"/>
        <v>7.76236287121761</v>
      </c>
      <c r="S48">
        <f t="shared" si="21"/>
        <v>0.164876016805812</v>
      </c>
      <c r="T48">
        <f t="shared" si="26"/>
        <v>1.82023122553616</v>
      </c>
      <c r="U48">
        <f t="shared" si="27"/>
        <v>0</v>
      </c>
      <c r="V48" s="35">
        <f>数据表!G18+数据表!F32</f>
        <v>0.75</v>
      </c>
      <c r="W48" s="106">
        <f t="shared" si="22"/>
        <v>0.989256100834869</v>
      </c>
      <c r="X48" s="109">
        <v>5000</v>
      </c>
      <c r="Y48" s="119">
        <v>5</v>
      </c>
      <c r="Z48" s="35">
        <f t="shared" si="23"/>
        <v>6595.04067223246</v>
      </c>
      <c r="AA48" s="44">
        <f t="shared" si="24"/>
        <v>6.59504067223246</v>
      </c>
      <c r="AB48">
        <f>数据表!P18*H48</f>
        <v>0</v>
      </c>
      <c r="AD48">
        <v>1.38</v>
      </c>
    </row>
    <row r="49" ht="16.35" spans="1:30">
      <c r="A49" s="35">
        <v>18</v>
      </c>
      <c r="B49">
        <f>VLOOKUP(17,G2:I27,2,0)+B48</f>
        <v>0.652609031580997</v>
      </c>
      <c r="C49" s="44">
        <f>VLOOKUP(17,G2:I27,3,0)+C48</f>
        <v>0.174958725353403</v>
      </c>
      <c r="D49">
        <f t="shared" si="15"/>
        <v>8.21463739904665</v>
      </c>
      <c r="E49">
        <f t="shared" si="16"/>
        <v>3.45884615589461</v>
      </c>
      <c r="G49" s="13" t="s">
        <v>204</v>
      </c>
      <c r="H49" s="14">
        <v>1.5</v>
      </c>
      <c r="I49" s="34">
        <f t="shared" si="25"/>
        <v>12.7442818441437</v>
      </c>
      <c r="J49" s="34">
        <f>数据表!T19</f>
        <v>2655</v>
      </c>
      <c r="K49" s="42">
        <f t="shared" si="17"/>
        <v>33836.0682962014</v>
      </c>
      <c r="L49" s="34">
        <f>数据表!R19</f>
        <v>2625</v>
      </c>
      <c r="M49" s="43">
        <f t="shared" si="18"/>
        <v>33453.7398408771</v>
      </c>
      <c r="N49" s="69">
        <v>0.58</v>
      </c>
      <c r="O49" s="70">
        <v>0.15</v>
      </c>
      <c r="P49" s="79">
        <v>0.016</v>
      </c>
      <c r="Q49" s="34">
        <f t="shared" si="19"/>
        <v>11.087525204405</v>
      </c>
      <c r="R49" s="110">
        <f t="shared" si="20"/>
        <v>2.86746341493232</v>
      </c>
      <c r="S49" s="42">
        <f t="shared" si="21"/>
        <v>0.305862764259448</v>
      </c>
      <c r="T49">
        <f t="shared" si="26"/>
        <v>3.44095609791879</v>
      </c>
      <c r="U49" s="43">
        <f t="shared" si="27"/>
        <v>0</v>
      </c>
      <c r="V49" s="35">
        <f>数据表!G19+数据表!F32</f>
        <v>1.75</v>
      </c>
      <c r="W49" s="99">
        <f t="shared" si="22"/>
        <v>22.3024932272514</v>
      </c>
      <c r="X49" s="111">
        <v>1500</v>
      </c>
      <c r="Y49" s="120">
        <v>0</v>
      </c>
      <c r="Z49" s="34">
        <f t="shared" si="23"/>
        <v>19116.4227662155</v>
      </c>
      <c r="AA49" s="43">
        <f t="shared" si="24"/>
        <v>0</v>
      </c>
      <c r="AB49">
        <f>数据表!P19*H49</f>
        <v>0</v>
      </c>
      <c r="AD49">
        <v>0.27</v>
      </c>
    </row>
    <row r="50" ht="16.35" spans="1:30">
      <c r="A50" s="35">
        <v>19</v>
      </c>
      <c r="B50">
        <f>VLOOKUP(18,G2:I27,2,0)+B49</f>
        <v>0.761563567130585</v>
      </c>
      <c r="C50" s="44">
        <f>VLOOKUP(18,G2:I27,3,0)+C49</f>
        <v>0.211276903869932</v>
      </c>
      <c r="D50">
        <f t="shared" si="15"/>
        <v>3.53666845463692</v>
      </c>
      <c r="E50">
        <f t="shared" si="16"/>
        <v>1.0691592711092</v>
      </c>
      <c r="G50" s="15" t="s">
        <v>204</v>
      </c>
      <c r="H50" s="16">
        <v>2.5</v>
      </c>
      <c r="I50" s="34">
        <f t="shared" si="25"/>
        <v>0</v>
      </c>
      <c r="J50" s="35">
        <f>数据表!T20</f>
        <v>3489.42857142857</v>
      </c>
      <c r="K50" s="104">
        <f t="shared" si="17"/>
        <v>0</v>
      </c>
      <c r="L50" s="35">
        <f>数据表!R20</f>
        <v>4125</v>
      </c>
      <c r="M50" s="44">
        <f t="shared" si="18"/>
        <v>0</v>
      </c>
      <c r="N50" s="66">
        <v>0.45</v>
      </c>
      <c r="O50" s="67">
        <v>0.1</v>
      </c>
      <c r="P50" s="65">
        <v>0.014</v>
      </c>
      <c r="Q50" s="35">
        <f t="shared" si="19"/>
        <v>0</v>
      </c>
      <c r="R50" s="96">
        <f t="shared" si="20"/>
        <v>0</v>
      </c>
      <c r="S50">
        <f t="shared" si="21"/>
        <v>0</v>
      </c>
      <c r="T50">
        <f t="shared" si="26"/>
        <v>0</v>
      </c>
      <c r="U50" s="44">
        <f t="shared" si="27"/>
        <v>0</v>
      </c>
      <c r="V50" s="35">
        <f>数据表!G20+数据表!F32</f>
        <v>2.75</v>
      </c>
      <c r="W50" s="106">
        <f t="shared" si="22"/>
        <v>0</v>
      </c>
      <c r="X50" s="108">
        <v>3000</v>
      </c>
      <c r="Y50" s="118">
        <v>0</v>
      </c>
      <c r="Z50" s="35">
        <f t="shared" si="23"/>
        <v>0</v>
      </c>
      <c r="AA50" s="44">
        <f t="shared" si="24"/>
        <v>0</v>
      </c>
      <c r="AB50">
        <f>数据表!P20*H50</f>
        <v>0</v>
      </c>
      <c r="AD50">
        <v>0.39</v>
      </c>
    </row>
    <row r="51" ht="16.35" spans="1:30">
      <c r="A51" s="35">
        <v>20</v>
      </c>
      <c r="B51">
        <f>VLOOKUP(19,G2:I27,2,0)+B50</f>
        <v>0.782536292496701</v>
      </c>
      <c r="C51" s="44">
        <f>VLOOKUP(19,G2:I27,3,0)+C50</f>
        <v>0.218267812325304</v>
      </c>
      <c r="D51">
        <f t="shared" si="15"/>
        <v>2.88994491368024</v>
      </c>
      <c r="E51">
        <f t="shared" si="16"/>
        <v>0.803930227407662</v>
      </c>
      <c r="G51" s="22" t="s">
        <v>204</v>
      </c>
      <c r="H51" s="23">
        <v>4</v>
      </c>
      <c r="I51" s="34">
        <f t="shared" si="25"/>
        <v>5.12608617705615</v>
      </c>
      <c r="J51" s="41">
        <f>数据表!T21</f>
        <v>8536.45714285714</v>
      </c>
      <c r="K51" s="46">
        <f t="shared" si="17"/>
        <v>43758.6149610322</v>
      </c>
      <c r="L51" s="41">
        <f>数据表!R21</f>
        <v>6375</v>
      </c>
      <c r="M51" s="47">
        <f t="shared" si="18"/>
        <v>32678.799378733</v>
      </c>
      <c r="N51" s="80">
        <v>0.52</v>
      </c>
      <c r="O51" s="81">
        <v>0.14</v>
      </c>
      <c r="P51" s="68">
        <v>0.026</v>
      </c>
      <c r="Q51" s="41">
        <f t="shared" si="19"/>
        <v>10.6622592482768</v>
      </c>
      <c r="R51" s="112">
        <f t="shared" si="20"/>
        <v>2.87060825915144</v>
      </c>
      <c r="S51" s="46">
        <f t="shared" si="21"/>
        <v>0.53311296241384</v>
      </c>
      <c r="T51">
        <f t="shared" si="26"/>
        <v>5.89499910361457</v>
      </c>
      <c r="U51" s="47">
        <f t="shared" si="27"/>
        <v>0</v>
      </c>
      <c r="V51" s="35">
        <f>数据表!G21+数据表!F32</f>
        <v>4.25</v>
      </c>
      <c r="W51" s="105">
        <f t="shared" si="22"/>
        <v>21.7858662524886</v>
      </c>
      <c r="X51" s="113">
        <v>6000</v>
      </c>
      <c r="Y51" s="121">
        <v>0</v>
      </c>
      <c r="Z51" s="41">
        <f t="shared" si="23"/>
        <v>30756.5170623369</v>
      </c>
      <c r="AA51" s="47">
        <f t="shared" si="24"/>
        <v>0</v>
      </c>
      <c r="AB51">
        <f>数据表!P21*H51</f>
        <v>0</v>
      </c>
      <c r="AD51">
        <v>1.15</v>
      </c>
    </row>
    <row r="52" ht="16.35" spans="1:30">
      <c r="A52" s="35">
        <v>21</v>
      </c>
      <c r="B52">
        <f>VLOOKUP(20,G2:I27,2,0)+B51</f>
        <v>0.782536292496701</v>
      </c>
      <c r="C52" s="44">
        <f>VLOOKUP(20,G2:I27,3,0)+C51</f>
        <v>0.218267812325304</v>
      </c>
      <c r="D52">
        <f t="shared" si="15"/>
        <v>2.88994491368024</v>
      </c>
      <c r="E52">
        <f t="shared" si="16"/>
        <v>0.803930227407662</v>
      </c>
      <c r="G52" s="19" t="s">
        <v>208</v>
      </c>
      <c r="H52" s="6">
        <v>2</v>
      </c>
      <c r="I52" s="34">
        <f t="shared" si="25"/>
        <v>0</v>
      </c>
      <c r="J52" s="35">
        <f>数据表!T22</f>
        <v>1638.51428571429</v>
      </c>
      <c r="K52" s="104">
        <f t="shared" si="17"/>
        <v>0</v>
      </c>
      <c r="L52" s="34">
        <f>数据表!R22</f>
        <v>3375</v>
      </c>
      <c r="M52" s="43">
        <f t="shared" si="18"/>
        <v>0</v>
      </c>
      <c r="N52" s="60">
        <v>0</v>
      </c>
      <c r="O52" s="61">
        <v>0</v>
      </c>
      <c r="P52" s="79">
        <v>0.018</v>
      </c>
      <c r="Q52">
        <f t="shared" si="19"/>
        <v>0</v>
      </c>
      <c r="R52" s="96">
        <f t="shared" si="20"/>
        <v>0</v>
      </c>
      <c r="S52">
        <f t="shared" si="21"/>
        <v>0</v>
      </c>
      <c r="T52">
        <f t="shared" si="26"/>
        <v>0</v>
      </c>
      <c r="U52">
        <f t="shared" si="27"/>
        <v>0</v>
      </c>
      <c r="V52" s="35">
        <f>数据表!G22+数据表!F32</f>
        <v>2.25</v>
      </c>
      <c r="W52" s="106">
        <f t="shared" si="22"/>
        <v>0</v>
      </c>
      <c r="X52" s="107">
        <v>0</v>
      </c>
      <c r="Y52" s="117">
        <v>0</v>
      </c>
      <c r="Z52" s="35">
        <f t="shared" si="23"/>
        <v>0</v>
      </c>
      <c r="AA52" s="44">
        <f t="shared" si="24"/>
        <v>0</v>
      </c>
      <c r="AB52">
        <f>数据表!P22*H52</f>
        <v>0</v>
      </c>
      <c r="AD52" s="103">
        <v>0.4</v>
      </c>
    </row>
    <row r="53" ht="16.35" spans="1:30">
      <c r="A53" s="35">
        <v>22</v>
      </c>
      <c r="B53">
        <f>VLOOKUP(21,G2:I27,2,0)+B52</f>
        <v>0.782536292496701</v>
      </c>
      <c r="C53" s="44">
        <f>VLOOKUP(21,G2:I27,3,0)+C52</f>
        <v>0.218267812325304</v>
      </c>
      <c r="D53">
        <f t="shared" si="15"/>
        <v>2.88994491368024</v>
      </c>
      <c r="E53">
        <f t="shared" si="16"/>
        <v>0.803930227407662</v>
      </c>
      <c r="G53" s="24" t="s">
        <v>208</v>
      </c>
      <c r="H53" s="25">
        <v>2</v>
      </c>
      <c r="I53" s="34">
        <f t="shared" si="25"/>
        <v>0</v>
      </c>
      <c r="J53" s="35">
        <f>数据表!T23</f>
        <v>1911.6</v>
      </c>
      <c r="K53" s="104">
        <f t="shared" si="17"/>
        <v>0</v>
      </c>
      <c r="L53" s="41">
        <f>数据表!R23</f>
        <v>3375</v>
      </c>
      <c r="M53" s="47">
        <f t="shared" si="18"/>
        <v>0</v>
      </c>
      <c r="N53" s="63">
        <v>0</v>
      </c>
      <c r="O53" s="64">
        <v>0</v>
      </c>
      <c r="P53" s="68">
        <v>0.021</v>
      </c>
      <c r="Q53">
        <f t="shared" si="19"/>
        <v>0</v>
      </c>
      <c r="R53" s="96">
        <f t="shared" si="20"/>
        <v>0</v>
      </c>
      <c r="S53">
        <f t="shared" si="21"/>
        <v>0</v>
      </c>
      <c r="T53">
        <f t="shared" si="26"/>
        <v>0</v>
      </c>
      <c r="U53">
        <f t="shared" si="27"/>
        <v>0</v>
      </c>
      <c r="V53" s="35">
        <f>数据表!G23+数据表!F32</f>
        <v>2.25</v>
      </c>
      <c r="W53" s="106">
        <f t="shared" si="22"/>
        <v>0</v>
      </c>
      <c r="X53" s="109">
        <v>0</v>
      </c>
      <c r="Y53" s="119">
        <v>0</v>
      </c>
      <c r="Z53" s="35">
        <f t="shared" si="23"/>
        <v>0</v>
      </c>
      <c r="AA53" s="44">
        <f t="shared" si="24"/>
        <v>0</v>
      </c>
      <c r="AB53">
        <f>数据表!P23*H53</f>
        <v>0</v>
      </c>
      <c r="AD53">
        <v>0.46</v>
      </c>
    </row>
    <row r="54" ht="16.35" spans="1:30">
      <c r="A54" s="35">
        <v>23</v>
      </c>
      <c r="B54">
        <f>VLOOKUP(22,G2:I27,2,0)+B53</f>
        <v>0.854781740474387</v>
      </c>
      <c r="C54" s="44">
        <f>VLOOKUP(22,G2:I27,3,0)+C53</f>
        <v>0.242349628317866</v>
      </c>
      <c r="D54">
        <f t="shared" si="15"/>
        <v>1.21054276355401</v>
      </c>
      <c r="E54">
        <f t="shared" si="16"/>
        <v>0.232023793262773</v>
      </c>
      <c r="G54" s="26" t="s">
        <v>211</v>
      </c>
      <c r="H54" s="27">
        <v>4</v>
      </c>
      <c r="I54" s="34">
        <f t="shared" si="25"/>
        <v>0</v>
      </c>
      <c r="J54" s="34">
        <f>数据表!T24</f>
        <v>6614.74285714286</v>
      </c>
      <c r="K54" s="42">
        <f t="shared" si="17"/>
        <v>0</v>
      </c>
      <c r="L54" s="34">
        <f>数据表!R24</f>
        <v>6375</v>
      </c>
      <c r="M54" s="43">
        <f t="shared" si="18"/>
        <v>0</v>
      </c>
      <c r="N54" s="82">
        <v>0.33</v>
      </c>
      <c r="O54" s="83">
        <v>0.09</v>
      </c>
      <c r="P54" s="79">
        <v>0.023</v>
      </c>
      <c r="Q54" s="34">
        <f t="shared" si="19"/>
        <v>0</v>
      </c>
      <c r="R54" s="110">
        <f t="shared" si="20"/>
        <v>0</v>
      </c>
      <c r="S54" s="42">
        <f t="shared" si="21"/>
        <v>0</v>
      </c>
      <c r="T54">
        <f t="shared" si="26"/>
        <v>0</v>
      </c>
      <c r="U54" s="43">
        <f t="shared" si="27"/>
        <v>0</v>
      </c>
      <c r="V54" s="35">
        <f>数据表!G24+数据表!F32</f>
        <v>4.25</v>
      </c>
      <c r="W54" s="99">
        <f t="shared" si="22"/>
        <v>0</v>
      </c>
      <c r="X54" s="111">
        <v>0</v>
      </c>
      <c r="Y54" s="120">
        <v>0</v>
      </c>
      <c r="Z54" s="34">
        <f t="shared" si="23"/>
        <v>0</v>
      </c>
      <c r="AA54" s="43">
        <f t="shared" si="24"/>
        <v>0</v>
      </c>
      <c r="AB54">
        <f>数据表!P24*H54</f>
        <v>0</v>
      </c>
      <c r="AD54">
        <v>1</v>
      </c>
    </row>
    <row r="55" ht="16.35" spans="1:30">
      <c r="A55" s="35">
        <v>24</v>
      </c>
      <c r="B55">
        <f>VLOOKUP(23,G2:I27,2,0)+B54</f>
        <v>0.902699917936371</v>
      </c>
      <c r="C55" s="44">
        <f>VLOOKUP(23,G2:I27,3,0)+C54</f>
        <v>0.258322354138527</v>
      </c>
      <c r="D55">
        <f t="shared" si="15"/>
        <v>0.520782991892338</v>
      </c>
      <c r="E55">
        <f t="shared" si="16"/>
        <v>0.0683210935791516</v>
      </c>
      <c r="G55" s="15" t="s">
        <v>213</v>
      </c>
      <c r="H55" s="16">
        <v>6</v>
      </c>
      <c r="I55" s="34">
        <f t="shared" si="25"/>
        <v>0</v>
      </c>
      <c r="J55" s="35">
        <f>数据表!T25</f>
        <v>3277.02857142857</v>
      </c>
      <c r="K55" s="104">
        <f t="shared" si="17"/>
        <v>0</v>
      </c>
      <c r="L55" s="35">
        <f>数据表!R25</f>
        <v>9375</v>
      </c>
      <c r="M55" s="44">
        <f t="shared" si="18"/>
        <v>0</v>
      </c>
      <c r="N55" s="60">
        <v>0</v>
      </c>
      <c r="O55" s="61">
        <v>0</v>
      </c>
      <c r="P55" s="65">
        <v>0.012</v>
      </c>
      <c r="Q55" s="35">
        <f t="shared" si="19"/>
        <v>0</v>
      </c>
      <c r="R55" s="96">
        <f t="shared" si="20"/>
        <v>0</v>
      </c>
      <c r="S55">
        <f t="shared" si="21"/>
        <v>0</v>
      </c>
      <c r="T55">
        <f t="shared" si="26"/>
        <v>0</v>
      </c>
      <c r="U55" s="44">
        <f t="shared" si="27"/>
        <v>0</v>
      </c>
      <c r="V55" s="35">
        <f>数据表!G25+数据表!F32</f>
        <v>6.25</v>
      </c>
      <c r="W55" s="106">
        <f t="shared" si="22"/>
        <v>0</v>
      </c>
      <c r="X55" s="108">
        <v>0</v>
      </c>
      <c r="Y55" s="118">
        <v>0</v>
      </c>
      <c r="Z55" s="35">
        <f t="shared" si="23"/>
        <v>0</v>
      </c>
      <c r="AA55" s="44">
        <f t="shared" si="24"/>
        <v>0</v>
      </c>
      <c r="AB55">
        <f>数据表!P25*H55</f>
        <v>0</v>
      </c>
      <c r="AD55">
        <v>0.81</v>
      </c>
    </row>
    <row r="56" ht="16.35" spans="1:30">
      <c r="A56" s="35">
        <v>25</v>
      </c>
      <c r="B56">
        <f>VLOOKUP(24,G2:I27,2,0)+B55</f>
        <v>0.936627187579347</v>
      </c>
      <c r="C56" s="44">
        <f>VLOOKUP(24,G2:I27,3,0)+C55</f>
        <v>0.269631444019519</v>
      </c>
      <c r="D56">
        <f t="shared" si="15"/>
        <v>0.214234838931303</v>
      </c>
      <c r="E56">
        <f t="shared" si="16"/>
        <v>0.0185887852788738</v>
      </c>
      <c r="G56" s="7" t="s">
        <v>213</v>
      </c>
      <c r="H56" s="8">
        <v>8</v>
      </c>
      <c r="I56" s="34">
        <f t="shared" si="25"/>
        <v>0</v>
      </c>
      <c r="J56" s="35">
        <f>数据表!T26</f>
        <v>4814.4</v>
      </c>
      <c r="K56" s="104">
        <f t="shared" si="17"/>
        <v>0</v>
      </c>
      <c r="L56" s="35">
        <f>数据表!R26</f>
        <v>12375</v>
      </c>
      <c r="M56" s="44">
        <f t="shared" si="18"/>
        <v>0</v>
      </c>
      <c r="N56" s="66">
        <v>0.07</v>
      </c>
      <c r="O56" s="67">
        <v>0.01</v>
      </c>
      <c r="P56" s="65">
        <v>0.011</v>
      </c>
      <c r="Q56" s="35">
        <f t="shared" si="19"/>
        <v>0</v>
      </c>
      <c r="R56" s="96">
        <f t="shared" si="20"/>
        <v>0</v>
      </c>
      <c r="S56">
        <f t="shared" si="21"/>
        <v>0</v>
      </c>
      <c r="T56">
        <f t="shared" si="26"/>
        <v>0</v>
      </c>
      <c r="U56" s="44">
        <f t="shared" si="27"/>
        <v>0</v>
      </c>
      <c r="V56" s="35">
        <f>数据表!G26+数据表!F32</f>
        <v>8.25</v>
      </c>
      <c r="W56" s="106">
        <f t="shared" si="22"/>
        <v>0</v>
      </c>
      <c r="X56" s="108">
        <v>0</v>
      </c>
      <c r="Y56" s="118">
        <v>0</v>
      </c>
      <c r="Z56" s="35">
        <f t="shared" si="23"/>
        <v>0</v>
      </c>
      <c r="AA56" s="44">
        <f t="shared" si="24"/>
        <v>0</v>
      </c>
      <c r="AB56">
        <f>数据表!P26*H56</f>
        <v>0</v>
      </c>
      <c r="AD56">
        <v>0.98</v>
      </c>
    </row>
    <row r="57" ht="16.35" spans="1:30">
      <c r="A57" s="41">
        <v>26</v>
      </c>
      <c r="B57" s="46">
        <f>VLOOKUP(25,G2:I27,2,0)+B56</f>
        <v>0.95274536793224</v>
      </c>
      <c r="C57" s="47">
        <f>VLOOKUP(25,G2:I27,3,0)+C56</f>
        <v>0.275004170803817</v>
      </c>
      <c r="D57">
        <f t="shared" si="15"/>
        <v>0.117370725298378</v>
      </c>
      <c r="E57">
        <f t="shared" si="16"/>
        <v>0.0076501273747331</v>
      </c>
      <c r="G57" s="17" t="s">
        <v>213</v>
      </c>
      <c r="H57" s="18">
        <v>12</v>
      </c>
      <c r="I57" s="34">
        <f t="shared" si="25"/>
        <v>0</v>
      </c>
      <c r="J57" s="41">
        <f>数据表!T27</f>
        <v>6493.37142857143</v>
      </c>
      <c r="K57" s="46">
        <f t="shared" si="17"/>
        <v>0</v>
      </c>
      <c r="L57" s="41">
        <f>数据表!R27</f>
        <v>18375</v>
      </c>
      <c r="M57" s="47">
        <f t="shared" si="18"/>
        <v>0</v>
      </c>
      <c r="N57" s="80">
        <v>0.07</v>
      </c>
      <c r="O57" s="81">
        <v>0.02</v>
      </c>
      <c r="P57" s="68">
        <v>0.009</v>
      </c>
      <c r="Q57" s="41">
        <f t="shared" si="19"/>
        <v>0</v>
      </c>
      <c r="R57" s="112">
        <f t="shared" si="20"/>
        <v>0</v>
      </c>
      <c r="S57" s="46">
        <f t="shared" si="21"/>
        <v>0</v>
      </c>
      <c r="T57">
        <f t="shared" si="26"/>
        <v>0</v>
      </c>
      <c r="U57" s="47">
        <f t="shared" si="27"/>
        <v>0</v>
      </c>
      <c r="V57" s="35">
        <f>数据表!G27+数据表!F32</f>
        <v>12.25</v>
      </c>
      <c r="W57" s="105">
        <f t="shared" si="22"/>
        <v>0</v>
      </c>
      <c r="X57" s="113">
        <v>0</v>
      </c>
      <c r="Y57" s="121">
        <v>0</v>
      </c>
      <c r="Z57" s="41">
        <f t="shared" si="23"/>
        <v>0</v>
      </c>
      <c r="AA57" s="47">
        <f t="shared" si="24"/>
        <v>0</v>
      </c>
      <c r="AB57">
        <f>数据表!P27*H57</f>
        <v>0</v>
      </c>
      <c r="AD57">
        <v>1.14</v>
      </c>
    </row>
    <row r="58" ht="16.35" spans="2:30">
      <c r="B58">
        <f>VLOOKUP(26,G2:I27,2,0)+B57</f>
        <v>0.965072639538851</v>
      </c>
      <c r="C58">
        <f>VLOOKUP(26,G2:I27,3,0)+C57</f>
        <v>0.279113261339354</v>
      </c>
      <c r="G58" s="5" t="s">
        <v>215</v>
      </c>
      <c r="H58" s="48">
        <v>3</v>
      </c>
      <c r="I58" s="34">
        <f t="shared" si="25"/>
        <v>0</v>
      </c>
      <c r="J58" s="41">
        <f>数据表!T28</f>
        <v>1501.97142857143</v>
      </c>
      <c r="K58" s="47">
        <f t="shared" si="17"/>
        <v>0</v>
      </c>
      <c r="L58" s="42">
        <f>数据表!R28</f>
        <v>4875</v>
      </c>
      <c r="M58" s="47">
        <f t="shared" si="18"/>
        <v>0</v>
      </c>
      <c r="N58" s="60">
        <v>0</v>
      </c>
      <c r="O58" s="61">
        <v>0</v>
      </c>
      <c r="P58" s="84">
        <v>0.011</v>
      </c>
      <c r="Q58">
        <f t="shared" si="19"/>
        <v>0</v>
      </c>
      <c r="R58" s="96">
        <f t="shared" si="20"/>
        <v>0</v>
      </c>
      <c r="S58">
        <f t="shared" si="21"/>
        <v>0</v>
      </c>
      <c r="T58">
        <f t="shared" si="26"/>
        <v>0</v>
      </c>
      <c r="U58">
        <f t="shared" si="27"/>
        <v>0</v>
      </c>
      <c r="V58" s="35">
        <f>数据表!G28+数据表!F32</f>
        <v>3.25</v>
      </c>
      <c r="W58" s="105">
        <f t="shared" si="22"/>
        <v>0</v>
      </c>
      <c r="X58" s="114">
        <v>0</v>
      </c>
      <c r="Y58" s="122">
        <v>0</v>
      </c>
      <c r="Z58" s="41">
        <f t="shared" si="23"/>
        <v>0</v>
      </c>
      <c r="AA58" s="47">
        <f t="shared" si="24"/>
        <v>0</v>
      </c>
      <c r="AB58">
        <f>数据表!P28*H58</f>
        <v>0</v>
      </c>
      <c r="AD58">
        <v>0.35</v>
      </c>
    </row>
    <row r="59" ht="15.15" spans="7:27">
      <c r="G59" s="49" t="s">
        <v>295</v>
      </c>
      <c r="H59" s="31" t="s">
        <v>296</v>
      </c>
      <c r="I59" s="32">
        <f t="shared" ref="I59:M59" si="28">SUM(I33:I58)</f>
        <v>100</v>
      </c>
      <c r="J59" s="31" t="s">
        <v>297</v>
      </c>
      <c r="K59" s="85">
        <f t="shared" si="28"/>
        <v>618233.631754777</v>
      </c>
      <c r="L59" s="32" t="s">
        <v>298</v>
      </c>
      <c r="M59" s="85">
        <f t="shared" si="28"/>
        <v>377181.379436089</v>
      </c>
      <c r="N59" s="31"/>
      <c r="O59" s="32"/>
      <c r="P59" s="31"/>
      <c r="Q59" s="31">
        <f>SUM(Q33:Q58)</f>
        <v>21.7497844526818</v>
      </c>
      <c r="R59" s="32">
        <f>SUM(R33:R58)</f>
        <v>85.2616646325398</v>
      </c>
      <c r="S59" s="85">
        <f>SUM(S33:S58)</f>
        <v>7.41584805889298</v>
      </c>
      <c r="T59">
        <f>SUM(T33:T58)</f>
        <v>67.7575581432946</v>
      </c>
      <c r="U59" s="99">
        <f>SUM(U33:U58)</f>
        <v>0</v>
      </c>
      <c r="V59" s="32"/>
      <c r="W59" s="49">
        <f>SUM(W33:W58)</f>
        <v>245.738551041458</v>
      </c>
      <c r="Y59" s="31"/>
      <c r="Z59" s="31">
        <f t="shared" ref="W59:AA59" si="29">SUM(Z33:Z58)</f>
        <v>222560.239333974</v>
      </c>
      <c r="AA59" s="85">
        <f t="shared" si="29"/>
        <v>6.59504067223246</v>
      </c>
    </row>
    <row r="60" ht="15.15" spans="7:27">
      <c r="G60" s="31"/>
      <c r="H60" s="32"/>
      <c r="I60" s="32"/>
      <c r="J60" s="31" t="s">
        <v>299</v>
      </c>
      <c r="K60" s="85">
        <f>K59/M59*100</f>
        <v>163.908842127646</v>
      </c>
      <c r="L60" s="32"/>
      <c r="M60" s="85"/>
      <c r="P60" s="41" t="s">
        <v>300</v>
      </c>
      <c r="Q60" s="41">
        <f>Q59/W59*'倾向-优先级表'!I13</f>
        <v>1.41612518576379</v>
      </c>
      <c r="R60" s="46">
        <f>R59/W59*'倾向-优先级表'!I13</f>
        <v>5.55137412644095</v>
      </c>
      <c r="S60" s="47">
        <f>S59/W59*'倾向-优先级表'!I13</f>
        <v>0.482844748776394</v>
      </c>
      <c r="T60">
        <f>T59/W59*'倾向-优先级表'!I13</f>
        <v>4.41168439261211</v>
      </c>
      <c r="U60" s="105">
        <f>U59/W59*'倾向-优先级表'!I13</f>
        <v>0</v>
      </c>
      <c r="Y60" s="41" t="s">
        <v>301</v>
      </c>
      <c r="Z60" s="41">
        <f>Z59/W59*'倾向-优先级表'!I13</f>
        <v>14490.8636201034</v>
      </c>
      <c r="AA60" s="47">
        <f>AA59/W59*'倾向-优先级表'!I13</f>
        <v>0.429402103611807</v>
      </c>
    </row>
    <row r="61" spans="16:19">
      <c r="P61" t="s">
        <v>302</v>
      </c>
      <c r="Q61">
        <f>Q59/M59</f>
        <v>5.76639930772806e-5</v>
      </c>
      <c r="R61">
        <f>R59/M59</f>
        <v>0.000226049506367498</v>
      </c>
      <c r="S61">
        <f>S59/M59</f>
        <v>1.96612252438871e-5</v>
      </c>
    </row>
    <row r="62" spans="8:17">
      <c r="H62" t="s">
        <v>303</v>
      </c>
      <c r="I62" t="s">
        <v>304</v>
      </c>
      <c r="J62" t="s">
        <v>175</v>
      </c>
      <c r="K62" t="s">
        <v>305</v>
      </c>
      <c r="P62" t="s">
        <v>306</v>
      </c>
      <c r="Q62">
        <f>M59/W59</f>
        <v>1534.88892091846</v>
      </c>
    </row>
    <row r="63" spans="7:17">
      <c r="G63" t="s">
        <v>183</v>
      </c>
      <c r="H63">
        <f>I33*H33+I34*H34+I35*H35+I36*H36+夜晚模拟!H63/H73</f>
        <v>0</v>
      </c>
      <c r="I63">
        <f>I33*3+I34*6+I35*10+I36*5+夜晚模拟!I63/H73</f>
        <v>0</v>
      </c>
      <c r="J63">
        <v>0</v>
      </c>
      <c r="K63">
        <f>I33*O33+I34*O34+I35*O35+I36*O36+夜晚模拟!K63/H73</f>
        <v>0</v>
      </c>
      <c r="P63" t="s">
        <v>307</v>
      </c>
      <c r="Q63">
        <f>K59/W59</f>
        <v>2515.81865822297</v>
      </c>
    </row>
    <row r="64" spans="7:11">
      <c r="G64" t="s">
        <v>189</v>
      </c>
      <c r="H64">
        <f>H37*I37+I38*H38+H39*I39+I40*H40+夜晚模拟!H64/H73</f>
        <v>64.1959351598041</v>
      </c>
      <c r="I64">
        <v>0</v>
      </c>
      <c r="J64">
        <f>I37*P37+I38*P38+I39*P39+I40*P40+夜晚模拟!J64/H73</f>
        <v>6.48349392488609</v>
      </c>
      <c r="K64">
        <v>0</v>
      </c>
    </row>
    <row r="65" spans="7:11">
      <c r="G65" t="s">
        <v>194</v>
      </c>
      <c r="H65">
        <f>H41*I41+H42*I42+I43*H43+H44*I44+夜晚模拟!H65/H73</f>
        <v>0</v>
      </c>
      <c r="I65">
        <f>I44*5+夜晚模拟!I65/H73</f>
        <v>0</v>
      </c>
      <c r="J65">
        <f>I41*P41+I42*P42+I43*P43+I44*P44+夜晚模拟!J65/H73</f>
        <v>0</v>
      </c>
      <c r="K65">
        <v>0</v>
      </c>
    </row>
    <row r="66" spans="7:11">
      <c r="G66" t="s">
        <v>199</v>
      </c>
      <c r="H66">
        <f>I45*H45+H46*I46+I47*H47+H48*I48+夜晚模拟!H66/H73</f>
        <v>159.839904506796</v>
      </c>
      <c r="I66">
        <f>I48*5+夜晚模拟!I66/H73</f>
        <v>7.62470136783496</v>
      </c>
      <c r="J66">
        <f>I45*P45++I46*P46+I47*P47+I48*P48+夜晚模拟!J66/H73</f>
        <v>1.05532140782617</v>
      </c>
      <c r="K66">
        <f>I45*O45+I46*O46+I47*O47+I48*O48+夜晚模拟!K66/H73</f>
        <v>48.0952668233189</v>
      </c>
    </row>
    <row r="67" spans="7:11">
      <c r="G67" t="s">
        <v>204</v>
      </c>
      <c r="H67">
        <f>I49*H49+H50*I50+I51*H51+夜晚模拟!H67/H73</f>
        <v>49.9856409250922</v>
      </c>
      <c r="I67">
        <v>0</v>
      </c>
      <c r="J67">
        <f>I49*P49+I50*P50+I51*P51+夜晚模拟!J67/H73</f>
        <v>0.402345326234857</v>
      </c>
      <c r="K67">
        <f>I49*O49+I50*O50+I51*O51+夜晚模拟!K67/H73</f>
        <v>3.00435991942746</v>
      </c>
    </row>
    <row r="68" spans="7:11">
      <c r="G68" t="s">
        <v>308</v>
      </c>
      <c r="H68">
        <f>H54*I54+I55*H55+H56*I56+I57*H57+H58*I58+夜晚模拟!H68/H73</f>
        <v>7.6779318098228</v>
      </c>
      <c r="I68">
        <v>0</v>
      </c>
      <c r="J68">
        <f>I52*P52+I53*P53+I54*P54+I55*P55+I56*P56+I57*P57+I58*P58+夜晚模拟!J68/H73</f>
        <v>0.0171585260949508</v>
      </c>
      <c r="K68">
        <f>I52*O52+I53*O53+I54*O54+I55*O55+I56*O56+I57*O57+I58*O58+夜晚模拟!K68/H73</f>
        <v>0.0416612112078657</v>
      </c>
    </row>
    <row r="71" ht="15.15"/>
    <row r="72" ht="15.15" spans="7:10">
      <c r="G72" s="89" t="s">
        <v>309</v>
      </c>
      <c r="H72" s="90"/>
      <c r="I72" s="123"/>
      <c r="J72" s="49">
        <f>T29/100</f>
        <v>0.0836208414111377</v>
      </c>
    </row>
    <row r="73" spans="7:11">
      <c r="G73" s="35" t="s">
        <v>310</v>
      </c>
      <c r="H73" s="99">
        <f>'倾向-优先级表'!I13/白天模拟!W59*100</f>
        <v>6.51098491961918</v>
      </c>
      <c r="I73" s="44" t="s">
        <v>311</v>
      </c>
      <c r="J73" t="s">
        <v>312</v>
      </c>
      <c r="K73" s="124">
        <f>ABS(R28-98.3)/100</f>
        <v>0.0526823622747001</v>
      </c>
    </row>
    <row r="74" spans="7:11">
      <c r="G74" s="35" t="s">
        <v>313</v>
      </c>
      <c r="H74" s="106">
        <f>100-(1-J72)^H73*100</f>
        <v>43.3666540242152</v>
      </c>
      <c r="I74" s="44" t="s">
        <v>314</v>
      </c>
      <c r="J74" t="s">
        <v>250</v>
      </c>
      <c r="K74">
        <f>1-(1-H74/100)*(1-夜晚模拟!T29)</f>
        <v>0.500993686457142</v>
      </c>
    </row>
    <row r="75" ht="15.15" spans="7:13">
      <c r="G75" s="35" t="s">
        <v>315</v>
      </c>
      <c r="H75" s="105">
        <f>100*(1-(1-J72)^H73-H73*(1-J72)^(H73-1)*J72)</f>
        <v>9.71873266040224</v>
      </c>
      <c r="I75" s="44" t="s">
        <v>314</v>
      </c>
      <c r="J75" t="s">
        <v>316</v>
      </c>
      <c r="L75">
        <f>H74*夜晚模拟!T29+(100-H74)*夜晚模拟!T29^2</f>
        <v>5.95593896135139</v>
      </c>
      <c r="M75" t="s">
        <v>314</v>
      </c>
    </row>
    <row r="76" ht="15.15" spans="7:10">
      <c r="G76" s="31" t="s">
        <v>317</v>
      </c>
      <c r="H76" s="32"/>
      <c r="I76" s="49">
        <f>100-(100-H75)*(100-L75)/100</f>
        <v>15.0958298366832</v>
      </c>
      <c r="J76" s="85" t="s">
        <v>314</v>
      </c>
    </row>
  </sheetData>
  <mergeCells count="12">
    <mergeCell ref="AC28:AD28"/>
    <mergeCell ref="D30:E30"/>
    <mergeCell ref="G31:H31"/>
    <mergeCell ref="N31:P31"/>
    <mergeCell ref="X31:Y31"/>
    <mergeCell ref="I31:I32"/>
    <mergeCell ref="J31:J32"/>
    <mergeCell ref="K31:K32"/>
    <mergeCell ref="L31:L32"/>
    <mergeCell ref="M31:M32"/>
    <mergeCell ref="V31:V32"/>
    <mergeCell ref="W31:W3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68"/>
  <sheetViews>
    <sheetView topLeftCell="E1" workbookViewId="0">
      <selection activeCell="M1" sqref="M1"/>
    </sheetView>
  </sheetViews>
  <sheetFormatPr defaultColWidth="8.88888888888889" defaultRowHeight="14.4"/>
  <cols>
    <col min="9" max="9" width="12.8888888888889"/>
    <col min="11" max="13" width="12.8888888888889"/>
    <col min="15" max="17" width="12.8888888888889"/>
    <col min="20" max="20" width="12.8888888888889"/>
    <col min="21" max="21" width="10.7777777777778" customWidth="1"/>
    <col min="22" max="22" width="13.8888888888889" customWidth="1"/>
    <col min="23" max="23" width="13.7777777777778" customWidth="1"/>
    <col min="24" max="30" width="12.8888888888889"/>
    <col min="31" max="33" width="14.1111111111111"/>
    <col min="34" max="34" width="13.4444444444444" customWidth="1"/>
  </cols>
  <sheetData>
    <row r="1" ht="15.15" spans="1:34">
      <c r="A1" s="31"/>
      <c r="B1" s="32"/>
      <c r="C1" s="32" t="s">
        <v>246</v>
      </c>
      <c r="D1" t="s">
        <v>247</v>
      </c>
      <c r="G1" t="s">
        <v>102</v>
      </c>
      <c r="H1" t="s">
        <v>248</v>
      </c>
      <c r="I1" t="s">
        <v>249</v>
      </c>
      <c r="K1" t="s">
        <v>250</v>
      </c>
      <c r="L1" t="s">
        <v>251</v>
      </c>
      <c r="M1" t="s">
        <v>252</v>
      </c>
      <c r="N1" t="s">
        <v>253</v>
      </c>
      <c r="O1" t="s">
        <v>254</v>
      </c>
      <c r="P1" t="s">
        <v>255</v>
      </c>
      <c r="Q1" t="s">
        <v>256</v>
      </c>
      <c r="R1" t="s">
        <v>257</v>
      </c>
      <c r="S1" t="s">
        <v>258</v>
      </c>
      <c r="T1" t="s">
        <v>259</v>
      </c>
      <c r="U1" t="s">
        <v>260</v>
      </c>
      <c r="V1" t="s">
        <v>261</v>
      </c>
      <c r="W1" t="s">
        <v>262</v>
      </c>
      <c r="X1" t="s">
        <v>263</v>
      </c>
      <c r="Y1" t="s">
        <v>264</v>
      </c>
      <c r="Z1" t="s">
        <v>265</v>
      </c>
      <c r="AA1" t="s">
        <v>266</v>
      </c>
      <c r="AB1" t="s">
        <v>267</v>
      </c>
      <c r="AC1" t="s">
        <v>268</v>
      </c>
      <c r="AD1" t="s">
        <v>269</v>
      </c>
      <c r="AE1" t="s">
        <v>270</v>
      </c>
      <c r="AF1" t="s">
        <v>271</v>
      </c>
      <c r="AG1" t="s">
        <v>272</v>
      </c>
      <c r="AH1" t="s">
        <v>318</v>
      </c>
    </row>
    <row r="2" ht="15.6" spans="1:34">
      <c r="A2" s="33" t="s">
        <v>183</v>
      </c>
      <c r="B2" s="14">
        <v>1</v>
      </c>
      <c r="C2" s="34">
        <v>3995</v>
      </c>
      <c r="D2">
        <f t="shared" ref="D2:D27" si="0">C2/36666.67</f>
        <v>0.108954535549588</v>
      </c>
      <c r="E2" s="33" t="s">
        <v>183</v>
      </c>
      <c r="F2" s="14">
        <v>1</v>
      </c>
      <c r="G2">
        <f>数据表!I3</f>
        <v>23</v>
      </c>
      <c r="H2">
        <f t="shared" ref="H2:H9" si="1">D2</f>
        <v>0.108954535549588</v>
      </c>
      <c r="I2">
        <f t="shared" ref="I2:I9" si="2">H2/3</f>
        <v>0.0363181785165292</v>
      </c>
      <c r="J2">
        <f t="shared" ref="J2:J27" si="3">H2*3+I2*2</f>
        <v>0.399499963681822</v>
      </c>
      <c r="K2">
        <f t="shared" ref="K2:K27" si="4">J2/36.66667</f>
        <v>0.0108954525644631</v>
      </c>
      <c r="L2">
        <f>VLOOKUP(G2,A32:E57,4,0)</f>
        <v>3.74037438620956</v>
      </c>
      <c r="M2">
        <f>VLOOKUP(G2,A32:E57,5,0)</f>
        <v>1.15684143098626</v>
      </c>
      <c r="N2">
        <f t="shared" ref="N2:N27" si="5">H2*(1-H2)*(1-I2)^2*2+(1-H2)^2*I2*(1-I2)*2</f>
        <v>0.235895442948329</v>
      </c>
      <c r="O2">
        <f t="shared" ref="O2:O27" si="6">H2*(1-H2)^2*(1-I2)*3+(1-H2)^3*I2</f>
        <v>0.275785616686259</v>
      </c>
      <c r="P2">
        <f t="shared" ref="P2:P27" si="7">L2*(1-N2)</f>
        <v>2.85803711358207</v>
      </c>
      <c r="Q2">
        <f t="shared" ref="Q2:Q27" si="8">M2*(1-O2)</f>
        <v>0.837801203533498</v>
      </c>
      <c r="R2">
        <f t="shared" ref="R2:R27" si="9">H2*P2*3+I2*Q2*2</f>
        <v>0.995043146224044</v>
      </c>
      <c r="S2">
        <f>'倾向-优先级表'!M14</f>
        <v>15</v>
      </c>
      <c r="T2">
        <f t="shared" ref="T2:T27" si="10">IF(S2&gt;=G2,1,0)*R2</f>
        <v>0</v>
      </c>
      <c r="U2">
        <f>T2/T28*100</f>
        <v>0</v>
      </c>
      <c r="V2">
        <f t="shared" ref="V2:V27" si="11">R2-T2</f>
        <v>0.995043146224044</v>
      </c>
      <c r="W2">
        <f>V2/V28</f>
        <v>0.0836997049911988</v>
      </c>
      <c r="X2">
        <f>数据表!N3</f>
        <v>2.8</v>
      </c>
      <c r="Y2">
        <f>数据表!O3</f>
        <v>0.71</v>
      </c>
      <c r="Z2">
        <f>数据表!Q3</f>
        <v>0</v>
      </c>
      <c r="AA2">
        <f>数据表!S3</f>
        <v>11900</v>
      </c>
      <c r="AB2">
        <f t="shared" ref="AB2:AD2" si="12">O61</f>
        <v>4.94926051008886e-5</v>
      </c>
      <c r="AC2">
        <f t="shared" si="12"/>
        <v>0.000178482496411143</v>
      </c>
      <c r="AD2">
        <f t="shared" si="12"/>
        <v>1.12354814805323e-5</v>
      </c>
      <c r="AE2">
        <f>(X2-AB2*AA2)*W2</f>
        <v>0.185063228265692</v>
      </c>
      <c r="AF2">
        <f>(Y2-AA2*AC2)*W2</f>
        <v>-0.118346503775142</v>
      </c>
      <c r="AG2">
        <f>(Z2-AD2*AA2)*W2</f>
        <v>-0.0111908371757201</v>
      </c>
      <c r="AH2">
        <f>(1-H2)^3*(1-I2)^2</f>
        <v>0.657002353315767</v>
      </c>
    </row>
    <row r="3" ht="15.6" spans="1:34">
      <c r="A3" s="7" t="s">
        <v>183</v>
      </c>
      <c r="B3" s="8">
        <v>2</v>
      </c>
      <c r="C3" s="35">
        <v>2649</v>
      </c>
      <c r="D3">
        <f t="shared" si="0"/>
        <v>0.0722454479776865</v>
      </c>
      <c r="E3" s="7" t="s">
        <v>183</v>
      </c>
      <c r="F3" s="8">
        <v>2</v>
      </c>
      <c r="G3">
        <f>数据表!I4</f>
        <v>25</v>
      </c>
      <c r="H3">
        <f t="shared" si="1"/>
        <v>0.0722454479776865</v>
      </c>
      <c r="I3">
        <f t="shared" si="2"/>
        <v>0.0240818159925622</v>
      </c>
      <c r="J3">
        <f t="shared" si="3"/>
        <v>0.264899975918184</v>
      </c>
      <c r="K3">
        <f t="shared" si="4"/>
        <v>0.00722454414099191</v>
      </c>
      <c r="L3">
        <f>VLOOKUP(G3,A32:E57,4,0)</f>
        <v>0.855815903261306</v>
      </c>
      <c r="M3">
        <f>VLOOKUP(G3,A32:E57,5,0)</f>
        <v>0.140621863073597</v>
      </c>
      <c r="N3">
        <f t="shared" si="5"/>
        <v>0.168130872355216</v>
      </c>
      <c r="O3">
        <f t="shared" si="6"/>
        <v>0.201289068390567</v>
      </c>
      <c r="P3">
        <f t="shared" si="7"/>
        <v>0.711926828870516</v>
      </c>
      <c r="Q3">
        <f t="shared" si="8"/>
        <v>0.112316219260167</v>
      </c>
      <c r="R3">
        <f t="shared" si="9"/>
        <v>0.15970997508766</v>
      </c>
      <c r="S3">
        <f>'倾向-优先级表'!M14</f>
        <v>15</v>
      </c>
      <c r="T3">
        <f t="shared" si="10"/>
        <v>0</v>
      </c>
      <c r="U3">
        <f>T3/T28*100</f>
        <v>0</v>
      </c>
      <c r="V3">
        <f t="shared" si="11"/>
        <v>0.15970997508766</v>
      </c>
      <c r="W3">
        <f>V3/V28</f>
        <v>0.0134342695085294</v>
      </c>
      <c r="X3">
        <f>数据表!N4</f>
        <v>1.96</v>
      </c>
      <c r="Y3">
        <f>数据表!O4</f>
        <v>0.54</v>
      </c>
      <c r="Z3">
        <f>数据表!Q4</f>
        <v>0</v>
      </c>
      <c r="AA3">
        <f>数据表!S4</f>
        <v>15800</v>
      </c>
      <c r="AB3">
        <f t="shared" ref="AB3:AD3" si="13">O61</f>
        <v>4.94926051008886e-5</v>
      </c>
      <c r="AC3">
        <f t="shared" si="13"/>
        <v>0.000178482496411143</v>
      </c>
      <c r="AD3">
        <f t="shared" si="13"/>
        <v>1.12354814805323e-5</v>
      </c>
      <c r="AE3">
        <f t="shared" ref="AE3:AE27" si="14">(X3-AB3*AA3)*W3</f>
        <v>0.0158257957061656</v>
      </c>
      <c r="AF3">
        <f t="shared" ref="AF3:AF27" si="15">(Y3-AA3*AC3)*W3</f>
        <v>-0.0306304494230044</v>
      </c>
      <c r="AG3">
        <f t="shared" ref="AG3:AG27" si="16">(Z3-AD3*AA3)*W3</f>
        <v>-0.00238485968302748</v>
      </c>
      <c r="AH3">
        <f t="shared" ref="AH3:AH27" si="17">(1-H3)^3*(1-I3)^2</f>
        <v>0.760547077767699</v>
      </c>
    </row>
    <row r="4" ht="15.6" spans="1:34">
      <c r="A4" s="9" t="s">
        <v>183</v>
      </c>
      <c r="B4" s="10">
        <v>4</v>
      </c>
      <c r="C4" s="35">
        <v>591</v>
      </c>
      <c r="D4">
        <f t="shared" si="0"/>
        <v>0.0161181803528927</v>
      </c>
      <c r="E4" s="9" t="s">
        <v>183</v>
      </c>
      <c r="F4" s="10">
        <v>4</v>
      </c>
      <c r="G4">
        <f>数据表!I5</f>
        <v>26</v>
      </c>
      <c r="H4">
        <f t="shared" si="1"/>
        <v>0.0161181803528927</v>
      </c>
      <c r="I4">
        <f t="shared" si="2"/>
        <v>0.00537272678429757</v>
      </c>
      <c r="J4">
        <f t="shared" si="3"/>
        <v>0.0590999946272732</v>
      </c>
      <c r="K4">
        <f t="shared" si="4"/>
        <v>0.00161181788876037</v>
      </c>
      <c r="L4">
        <f>VLOOKUP(G4,A32:E57,4,0)</f>
        <v>0.137435596001557</v>
      </c>
      <c r="M4">
        <f>VLOOKUP(G4,A32:E57,5,0)</f>
        <v>0.00965973547856143</v>
      </c>
      <c r="N4">
        <f t="shared" si="5"/>
        <v>0.0417228382729368</v>
      </c>
      <c r="O4">
        <f t="shared" si="6"/>
        <v>0.0516739365554506</v>
      </c>
      <c r="P4">
        <f t="shared" si="7"/>
        <v>0.131701392856639</v>
      </c>
      <c r="Q4">
        <f t="shared" si="8"/>
        <v>0.00916057892029981</v>
      </c>
      <c r="R4">
        <f t="shared" si="9"/>
        <v>0.006466794983821</v>
      </c>
      <c r="S4">
        <f>'倾向-优先级表'!M14</f>
        <v>15</v>
      </c>
      <c r="T4">
        <f t="shared" si="10"/>
        <v>0</v>
      </c>
      <c r="U4">
        <f>T4/T28*100</f>
        <v>0</v>
      </c>
      <c r="V4">
        <f t="shared" si="11"/>
        <v>0.006466794983821</v>
      </c>
      <c r="W4">
        <f>V4/V28</f>
        <v>0.000543965188281905</v>
      </c>
      <c r="X4">
        <f>数据表!N5</f>
        <v>1.395</v>
      </c>
      <c r="Y4">
        <f>数据表!O5</f>
        <v>0.31</v>
      </c>
      <c r="Z4">
        <f>数据表!Q5</f>
        <v>0</v>
      </c>
      <c r="AA4">
        <f>数据表!S5</f>
        <v>21000</v>
      </c>
      <c r="AB4">
        <f t="shared" ref="AB4:AD4" si="18">O61</f>
        <v>4.94926051008886e-5</v>
      </c>
      <c r="AC4">
        <f t="shared" si="18"/>
        <v>0.000178482496411143</v>
      </c>
      <c r="AD4">
        <f t="shared" si="18"/>
        <v>1.12354814805323e-5</v>
      </c>
      <c r="AE4">
        <f t="shared" si="14"/>
        <v>0.000193464098355654</v>
      </c>
      <c r="AF4">
        <f t="shared" si="15"/>
        <v>-0.00187022435170416</v>
      </c>
      <c r="AG4">
        <f t="shared" si="16"/>
        <v>-0.000128345926778908</v>
      </c>
      <c r="AH4">
        <f t="shared" si="17"/>
        <v>0.942213959513023</v>
      </c>
    </row>
    <row r="5" ht="16.35" spans="1:34">
      <c r="A5" s="11" t="s">
        <v>187</v>
      </c>
      <c r="B5" s="12">
        <v>0.5</v>
      </c>
      <c r="C5" s="35">
        <v>44</v>
      </c>
      <c r="D5">
        <f t="shared" si="0"/>
        <v>0.0011999998909091</v>
      </c>
      <c r="E5" s="11" t="s">
        <v>187</v>
      </c>
      <c r="F5" s="12">
        <v>0.5</v>
      </c>
      <c r="G5">
        <f>数据表!I6</f>
        <v>18</v>
      </c>
      <c r="H5">
        <f t="shared" si="1"/>
        <v>0.0011999998909091</v>
      </c>
      <c r="I5">
        <f t="shared" si="2"/>
        <v>0.000399999963636367</v>
      </c>
      <c r="J5">
        <f t="shared" si="3"/>
        <v>0.00439999960000004</v>
      </c>
      <c r="K5">
        <f t="shared" si="4"/>
        <v>0.000119999978181821</v>
      </c>
      <c r="L5">
        <f>VLOOKUP(G5,A32:E57,4,0)</f>
        <v>10.4461624705007</v>
      </c>
      <c r="M5">
        <f>VLOOKUP(G5,A32:E57,5,0)</f>
        <v>4.8097343212483</v>
      </c>
      <c r="N5">
        <f t="shared" si="5"/>
        <v>0.00319296431744808</v>
      </c>
      <c r="O5">
        <f t="shared" si="6"/>
        <v>0.00398849000369059</v>
      </c>
      <c r="P5">
        <f t="shared" si="7"/>
        <v>10.4128082464781</v>
      </c>
      <c r="Q5">
        <f t="shared" si="8"/>
        <v>4.79055074398759</v>
      </c>
      <c r="R5">
        <f t="shared" si="9"/>
        <v>0.0413185465262797</v>
      </c>
      <c r="S5">
        <f>'倾向-优先级表'!M14</f>
        <v>15</v>
      </c>
      <c r="T5">
        <f t="shared" si="10"/>
        <v>0</v>
      </c>
      <c r="U5">
        <f>T5/T28*100</f>
        <v>0</v>
      </c>
      <c r="V5">
        <f t="shared" si="11"/>
        <v>0.0413185465262797</v>
      </c>
      <c r="W5">
        <f>V5/V28</f>
        <v>0.00347557808728029</v>
      </c>
      <c r="X5">
        <f>数据表!N6</f>
        <v>9.78</v>
      </c>
      <c r="Y5">
        <f>数据表!O6</f>
        <v>1.97</v>
      </c>
      <c r="Z5">
        <f>数据表!Q6</f>
        <v>0</v>
      </c>
      <c r="AA5">
        <f>数据表!S6</f>
        <v>14500</v>
      </c>
      <c r="AB5">
        <f t="shared" ref="AB5:AD5" si="19">O61</f>
        <v>4.94926051008886e-5</v>
      </c>
      <c r="AC5">
        <f t="shared" si="19"/>
        <v>0.000178482496411143</v>
      </c>
      <c r="AD5">
        <f t="shared" si="19"/>
        <v>1.12354814805323e-5</v>
      </c>
      <c r="AE5">
        <f t="shared" si="14"/>
        <v>0.0314969301939208</v>
      </c>
      <c r="AF5">
        <f t="shared" si="15"/>
        <v>-0.00214789404365777</v>
      </c>
      <c r="AG5">
        <f t="shared" si="16"/>
        <v>-0.000566222001889833</v>
      </c>
      <c r="AH5">
        <f t="shared" si="17"/>
        <v>0.995607354640737</v>
      </c>
    </row>
    <row r="6" ht="15.6" spans="1:34">
      <c r="A6" s="13" t="s">
        <v>189</v>
      </c>
      <c r="B6" s="14">
        <v>1</v>
      </c>
      <c r="C6" s="35">
        <v>3173</v>
      </c>
      <c r="D6">
        <f t="shared" si="0"/>
        <v>0.0865363557694222</v>
      </c>
      <c r="E6" s="13" t="s">
        <v>189</v>
      </c>
      <c r="F6" s="14">
        <v>1</v>
      </c>
      <c r="G6">
        <f>数据表!I7</f>
        <v>19</v>
      </c>
      <c r="H6">
        <f t="shared" si="1"/>
        <v>0.0865363557694222</v>
      </c>
      <c r="I6">
        <f t="shared" si="2"/>
        <v>0.0288454519231407</v>
      </c>
      <c r="J6">
        <f t="shared" si="3"/>
        <v>0.317299971154548</v>
      </c>
      <c r="K6">
        <f t="shared" si="4"/>
        <v>0.00865363479024815</v>
      </c>
      <c r="L6">
        <f>VLOOKUP(G6,A32:E57,4,0)</f>
        <v>10.3713633977874</v>
      </c>
      <c r="M6">
        <f>VLOOKUP(G6,A32:E57,5,0)</f>
        <v>4.76271378791649</v>
      </c>
      <c r="N6">
        <f t="shared" si="5"/>
        <v>0.195856130233443</v>
      </c>
      <c r="O6">
        <f t="shared" si="6"/>
        <v>0.232359607501556</v>
      </c>
      <c r="P6">
        <f t="shared" si="7"/>
        <v>8.34006829745196</v>
      </c>
      <c r="Q6">
        <f t="shared" si="8"/>
        <v>3.65605148151397</v>
      </c>
      <c r="R6">
        <f t="shared" si="9"/>
        <v>2.37607826646582</v>
      </c>
      <c r="S6">
        <f>'倾向-优先级表'!M14</f>
        <v>15</v>
      </c>
      <c r="T6">
        <f t="shared" si="10"/>
        <v>0</v>
      </c>
      <c r="U6">
        <f>T6/T28*100</f>
        <v>0</v>
      </c>
      <c r="V6">
        <f t="shared" si="11"/>
        <v>2.37607826646582</v>
      </c>
      <c r="W6">
        <f>V6/V28</f>
        <v>0.19986776522594</v>
      </c>
      <c r="X6">
        <f>数据表!N7</f>
        <v>0</v>
      </c>
      <c r="Y6">
        <f>数据表!O7</f>
        <v>0</v>
      </c>
      <c r="Z6">
        <f>数据表!Q7</f>
        <v>0.052</v>
      </c>
      <c r="AA6">
        <f>数据表!S7</f>
        <v>8000</v>
      </c>
      <c r="AB6">
        <f t="shared" ref="AB6:AD6" si="20">O61</f>
        <v>4.94926051008886e-5</v>
      </c>
      <c r="AC6">
        <f t="shared" si="20"/>
        <v>0.000178482496411143</v>
      </c>
      <c r="AD6">
        <f t="shared" si="20"/>
        <v>1.12354814805323e-5</v>
      </c>
      <c r="AE6">
        <f t="shared" si="14"/>
        <v>-0.0791358110137967</v>
      </c>
      <c r="AF6">
        <f t="shared" si="15"/>
        <v>-0.285383181517136</v>
      </c>
      <c r="AG6">
        <f t="shared" si="16"/>
        <v>-0.00757176080626255</v>
      </c>
      <c r="AH6">
        <f t="shared" si="17"/>
        <v>0.718870228878597</v>
      </c>
    </row>
    <row r="7" ht="15.6" spans="1:34">
      <c r="A7" s="15" t="s">
        <v>189</v>
      </c>
      <c r="B7" s="16">
        <v>2</v>
      </c>
      <c r="C7" s="35">
        <v>1588</v>
      </c>
      <c r="D7">
        <f t="shared" si="0"/>
        <v>0.0433090869719012</v>
      </c>
      <c r="E7" s="15" t="s">
        <v>189</v>
      </c>
      <c r="F7" s="16">
        <v>2</v>
      </c>
      <c r="G7">
        <f>数据表!I8</f>
        <v>13</v>
      </c>
      <c r="H7">
        <f t="shared" si="1"/>
        <v>0.0433090869719012</v>
      </c>
      <c r="I7">
        <f t="shared" si="2"/>
        <v>0.0144363623239671</v>
      </c>
      <c r="J7">
        <f t="shared" si="3"/>
        <v>0.158799985563638</v>
      </c>
      <c r="K7">
        <f t="shared" si="4"/>
        <v>0.00433090830347118</v>
      </c>
      <c r="L7">
        <f>VLOOKUP(G7,A32:E57,4,0)</f>
        <v>34.1544585931733</v>
      </c>
      <c r="M7">
        <f>VLOOKUP(G7,A32:E57,5,0)</f>
        <v>23.5415938370608</v>
      </c>
      <c r="N7">
        <f t="shared" si="5"/>
        <v>0.10653598207248</v>
      </c>
      <c r="O7">
        <f t="shared" si="6"/>
        <v>0.129840919392942</v>
      </c>
      <c r="P7">
        <f t="shared" si="7"/>
        <v>30.5157798047958</v>
      </c>
      <c r="Q7">
        <f t="shared" si="8"/>
        <v>20.4849316492816</v>
      </c>
      <c r="R7">
        <f t="shared" si="9"/>
        <v>4.55628747568532</v>
      </c>
      <c r="S7">
        <f>'倾向-优先级表'!M14</f>
        <v>15</v>
      </c>
      <c r="T7">
        <f t="shared" si="10"/>
        <v>4.55628747568532</v>
      </c>
      <c r="U7">
        <f>T7/T28*100</f>
        <v>5.47024209964051</v>
      </c>
      <c r="V7">
        <f t="shared" si="11"/>
        <v>0</v>
      </c>
      <c r="W7">
        <f>V7/V28</f>
        <v>0</v>
      </c>
      <c r="X7">
        <f>数据表!N8</f>
        <v>0</v>
      </c>
      <c r="Y7">
        <f>数据表!O8</f>
        <v>0</v>
      </c>
      <c r="Z7">
        <f>数据表!Q8</f>
        <v>0.047</v>
      </c>
      <c r="AA7">
        <f>数据表!S8</f>
        <v>8000</v>
      </c>
      <c r="AB7">
        <f t="shared" ref="AB7:AD7" si="21">O61</f>
        <v>4.94926051008886e-5</v>
      </c>
      <c r="AC7">
        <f t="shared" si="21"/>
        <v>0.000178482496411143</v>
      </c>
      <c r="AD7">
        <f t="shared" si="21"/>
        <v>1.12354814805323e-5</v>
      </c>
      <c r="AE7">
        <f t="shared" si="14"/>
        <v>0</v>
      </c>
      <c r="AF7">
        <f t="shared" si="15"/>
        <v>0</v>
      </c>
      <c r="AG7">
        <f t="shared" si="16"/>
        <v>0</v>
      </c>
      <c r="AH7">
        <f t="shared" si="17"/>
        <v>0.850519529769823</v>
      </c>
    </row>
    <row r="8" ht="15.6" spans="1:34">
      <c r="A8" s="7" t="s">
        <v>189</v>
      </c>
      <c r="B8" s="8">
        <v>4</v>
      </c>
      <c r="C8" s="35">
        <v>861</v>
      </c>
      <c r="D8">
        <f t="shared" si="0"/>
        <v>0.0234818160471076</v>
      </c>
      <c r="E8" s="7" t="s">
        <v>189</v>
      </c>
      <c r="F8" s="8">
        <v>4</v>
      </c>
      <c r="G8">
        <f>数据表!I9</f>
        <v>6</v>
      </c>
      <c r="H8">
        <f t="shared" si="1"/>
        <v>0.0234818160471076</v>
      </c>
      <c r="I8">
        <f t="shared" si="2"/>
        <v>0.00782727201570254</v>
      </c>
      <c r="J8">
        <f t="shared" si="3"/>
        <v>0.086099992172728</v>
      </c>
      <c r="K8">
        <f t="shared" si="4"/>
        <v>0.00234818139123973</v>
      </c>
      <c r="L8">
        <f>VLOOKUP(G8,A32:E57,4,0)</f>
        <v>74.7067192525201</v>
      </c>
      <c r="M8">
        <f>VLOOKUP(G8,A32:E57,5,0)</f>
        <v>67.2702281196799</v>
      </c>
      <c r="N8">
        <f t="shared" si="5"/>
        <v>0.0599568561529422</v>
      </c>
      <c r="O8">
        <f t="shared" si="6"/>
        <v>0.0739388359273765</v>
      </c>
      <c r="P8">
        <f t="shared" si="7"/>
        <v>70.2275392326385</v>
      </c>
      <c r="Q8">
        <f t="shared" si="8"/>
        <v>62.2963457599417</v>
      </c>
      <c r="R8">
        <f t="shared" si="9"/>
        <v>5.92243136080019</v>
      </c>
      <c r="S8">
        <f>'倾向-优先级表'!M14</f>
        <v>15</v>
      </c>
      <c r="T8">
        <f t="shared" si="10"/>
        <v>5.92243136080019</v>
      </c>
      <c r="U8">
        <f>T8/T28*100</f>
        <v>7.11042346097962</v>
      </c>
      <c r="V8">
        <f t="shared" si="11"/>
        <v>0</v>
      </c>
      <c r="W8">
        <f>V8/V28</f>
        <v>0</v>
      </c>
      <c r="X8">
        <f>数据表!N9</f>
        <v>0</v>
      </c>
      <c r="Y8">
        <f>数据表!O9</f>
        <v>0</v>
      </c>
      <c r="Z8">
        <f>数据表!Q9</f>
        <v>0.051</v>
      </c>
      <c r="AA8">
        <f>数据表!S9</f>
        <v>8000</v>
      </c>
      <c r="AB8">
        <f t="shared" ref="AB8:AD8" si="22">O61</f>
        <v>4.94926051008886e-5</v>
      </c>
      <c r="AC8">
        <f t="shared" si="22"/>
        <v>0.000178482496411143</v>
      </c>
      <c r="AD8">
        <f t="shared" si="22"/>
        <v>1.12354814805323e-5</v>
      </c>
      <c r="AE8">
        <f t="shared" si="14"/>
        <v>0</v>
      </c>
      <c r="AF8">
        <f t="shared" si="15"/>
        <v>0</v>
      </c>
      <c r="AG8">
        <f t="shared" si="16"/>
        <v>0</v>
      </c>
      <c r="AH8">
        <f t="shared" si="17"/>
        <v>0.916675396442634</v>
      </c>
    </row>
    <row r="9" ht="16.35" spans="1:34">
      <c r="A9" s="17" t="s">
        <v>189</v>
      </c>
      <c r="B9" s="18">
        <v>0.5</v>
      </c>
      <c r="C9" s="35">
        <v>438</v>
      </c>
      <c r="D9">
        <f t="shared" si="0"/>
        <v>0.0119454534595042</v>
      </c>
      <c r="E9" s="17" t="s">
        <v>189</v>
      </c>
      <c r="F9" s="18">
        <v>0.5</v>
      </c>
      <c r="G9">
        <f>数据表!I10</f>
        <v>1</v>
      </c>
      <c r="H9">
        <f t="shared" si="1"/>
        <v>0.0119454534595042</v>
      </c>
      <c r="I9">
        <f t="shared" si="2"/>
        <v>0.00398181781983474</v>
      </c>
      <c r="J9">
        <f t="shared" si="3"/>
        <v>0.0437999960181822</v>
      </c>
      <c r="K9">
        <f t="shared" si="4"/>
        <v>0.0011945452373554</v>
      </c>
      <c r="L9">
        <f>VLOOKUP(G9,A32:E57,4,0)</f>
        <v>100</v>
      </c>
      <c r="M9">
        <f>VLOOKUP(G9,A32:E57,5,0)</f>
        <v>100</v>
      </c>
      <c r="N9">
        <f t="shared" si="5"/>
        <v>0.0311614645380741</v>
      </c>
      <c r="O9">
        <f t="shared" si="6"/>
        <v>0.0386868274398692</v>
      </c>
      <c r="P9">
        <f t="shared" si="7"/>
        <v>96.8838535461926</v>
      </c>
      <c r="Q9">
        <f t="shared" si="8"/>
        <v>96.1313172560131</v>
      </c>
      <c r="R9">
        <f t="shared" si="9"/>
        <v>4.23751947472875</v>
      </c>
      <c r="S9">
        <f>'倾向-优先级表'!M14</f>
        <v>15</v>
      </c>
      <c r="T9">
        <f t="shared" si="10"/>
        <v>4.23751947472875</v>
      </c>
      <c r="U9">
        <f>T9/T28*100</f>
        <v>5.08753180136449</v>
      </c>
      <c r="V9">
        <f t="shared" si="11"/>
        <v>0</v>
      </c>
      <c r="W9">
        <f>V9/V28</f>
        <v>0</v>
      </c>
      <c r="X9">
        <f>数据表!N10</f>
        <v>0</v>
      </c>
      <c r="Y9">
        <f>数据表!O10</f>
        <v>0</v>
      </c>
      <c r="Z9">
        <f>数据表!Q10</f>
        <v>0.816</v>
      </c>
      <c r="AA9">
        <f>数据表!S10</f>
        <v>8000</v>
      </c>
      <c r="AB9">
        <f t="shared" ref="AB9:AD9" si="23">O61</f>
        <v>4.94926051008886e-5</v>
      </c>
      <c r="AC9">
        <f t="shared" si="23"/>
        <v>0.000178482496411143</v>
      </c>
      <c r="AD9">
        <f t="shared" si="23"/>
        <v>1.12354814805323e-5</v>
      </c>
      <c r="AE9">
        <f t="shared" si="14"/>
        <v>0</v>
      </c>
      <c r="AF9">
        <f t="shared" si="15"/>
        <v>0</v>
      </c>
      <c r="AG9">
        <f t="shared" si="16"/>
        <v>0</v>
      </c>
      <c r="AH9">
        <f t="shared" si="17"/>
        <v>0.956923666671766</v>
      </c>
    </row>
    <row r="10" ht="15.6" spans="1:34">
      <c r="A10" s="19" t="s">
        <v>274</v>
      </c>
      <c r="B10" s="6">
        <v>2.5</v>
      </c>
      <c r="C10" s="35">
        <v>4817</v>
      </c>
      <c r="D10">
        <f t="shared" si="0"/>
        <v>0.131372715329753</v>
      </c>
      <c r="E10" s="19" t="s">
        <v>194</v>
      </c>
      <c r="F10" s="6">
        <v>2.5</v>
      </c>
      <c r="G10">
        <f>数据表!I11</f>
        <v>14</v>
      </c>
      <c r="H10">
        <f>D28*D10</f>
        <v>0</v>
      </c>
      <c r="I10">
        <f>E28*D10</f>
        <v>0</v>
      </c>
      <c r="J10">
        <f t="shared" si="3"/>
        <v>0</v>
      </c>
      <c r="K10">
        <f t="shared" si="4"/>
        <v>0</v>
      </c>
      <c r="L10">
        <f>VLOOKUP(G10,A32:E57,4,0)</f>
        <v>28.7297789248156</v>
      </c>
      <c r="M10">
        <f>VLOOKUP(G10,A32:E57,5,0)</f>
        <v>18.7451439834048</v>
      </c>
      <c r="N10">
        <f t="shared" si="5"/>
        <v>0</v>
      </c>
      <c r="O10">
        <f t="shared" si="6"/>
        <v>0</v>
      </c>
      <c r="P10">
        <f t="shared" si="7"/>
        <v>28.7297789248156</v>
      </c>
      <c r="Q10">
        <f t="shared" si="8"/>
        <v>18.7451439834048</v>
      </c>
      <c r="R10">
        <f t="shared" si="9"/>
        <v>0</v>
      </c>
      <c r="S10">
        <f>'倾向-优先级表'!M14</f>
        <v>15</v>
      </c>
      <c r="T10">
        <f t="shared" si="10"/>
        <v>0</v>
      </c>
      <c r="U10">
        <f>T10/T28*100</f>
        <v>0</v>
      </c>
      <c r="V10">
        <f t="shared" si="11"/>
        <v>0</v>
      </c>
      <c r="W10">
        <f>V10/V28</f>
        <v>0</v>
      </c>
      <c r="X10">
        <f>数据表!N11</f>
        <v>0.92</v>
      </c>
      <c r="Y10">
        <f>数据表!O11</f>
        <v>0</v>
      </c>
      <c r="Z10">
        <f>数据表!Q11</f>
        <v>0.014</v>
      </c>
      <c r="AA10">
        <f>数据表!S11</f>
        <v>8000</v>
      </c>
      <c r="AB10">
        <f t="shared" ref="AB10:AD10" si="24">O61</f>
        <v>4.94926051008886e-5</v>
      </c>
      <c r="AC10">
        <f t="shared" si="24"/>
        <v>0.000178482496411143</v>
      </c>
      <c r="AD10">
        <f t="shared" si="24"/>
        <v>1.12354814805323e-5</v>
      </c>
      <c r="AE10">
        <f t="shared" si="14"/>
        <v>0</v>
      </c>
      <c r="AF10">
        <f t="shared" si="15"/>
        <v>0</v>
      </c>
      <c r="AG10">
        <f t="shared" si="16"/>
        <v>0</v>
      </c>
      <c r="AH10">
        <f t="shared" si="17"/>
        <v>1</v>
      </c>
    </row>
    <row r="11" ht="15.6" spans="1:34">
      <c r="A11" s="7" t="s">
        <v>274</v>
      </c>
      <c r="B11" s="8">
        <v>5</v>
      </c>
      <c r="C11" s="35">
        <v>3036</v>
      </c>
      <c r="D11">
        <f t="shared" si="0"/>
        <v>0.082799992472728</v>
      </c>
      <c r="E11" s="7" t="s">
        <v>194</v>
      </c>
      <c r="F11" s="8">
        <v>5</v>
      </c>
      <c r="G11">
        <f>数据表!I12</f>
        <v>11</v>
      </c>
      <c r="H11">
        <f>D28*D11</f>
        <v>0</v>
      </c>
      <c r="I11">
        <f>E28*D11</f>
        <v>0</v>
      </c>
      <c r="J11">
        <f t="shared" si="3"/>
        <v>0</v>
      </c>
      <c r="K11">
        <f t="shared" si="4"/>
        <v>0</v>
      </c>
      <c r="L11">
        <f>VLOOKUP(G11,A32:E57,4,0)</f>
        <v>38.8403064970454</v>
      </c>
      <c r="M11">
        <f>VLOOKUP(G11,A32:E57,5,0)</f>
        <v>27.8603082943249</v>
      </c>
      <c r="N11">
        <f t="shared" si="5"/>
        <v>0</v>
      </c>
      <c r="O11">
        <f t="shared" si="6"/>
        <v>0</v>
      </c>
      <c r="P11">
        <f t="shared" si="7"/>
        <v>38.8403064970454</v>
      </c>
      <c r="Q11">
        <f t="shared" si="8"/>
        <v>27.8603082943249</v>
      </c>
      <c r="R11">
        <f t="shared" si="9"/>
        <v>0</v>
      </c>
      <c r="S11">
        <f>'倾向-优先级表'!M14</f>
        <v>15</v>
      </c>
      <c r="T11">
        <f t="shared" si="10"/>
        <v>0</v>
      </c>
      <c r="U11">
        <f>T11/T28*100</f>
        <v>0</v>
      </c>
      <c r="V11">
        <f t="shared" si="11"/>
        <v>0</v>
      </c>
      <c r="W11">
        <f>V11/V28</f>
        <v>0</v>
      </c>
      <c r="X11">
        <f>数据表!N12</f>
        <v>0.75</v>
      </c>
      <c r="Y11">
        <f>数据表!O12</f>
        <v>0</v>
      </c>
      <c r="Z11">
        <f>数据表!Q12</f>
        <v>0.01</v>
      </c>
      <c r="AA11">
        <f>数据表!S12</f>
        <v>8000</v>
      </c>
      <c r="AB11">
        <f t="shared" ref="AB11:AD11" si="25">O61</f>
        <v>4.94926051008886e-5</v>
      </c>
      <c r="AC11">
        <f t="shared" si="25"/>
        <v>0.000178482496411143</v>
      </c>
      <c r="AD11">
        <f t="shared" si="25"/>
        <v>1.12354814805323e-5</v>
      </c>
      <c r="AE11">
        <f t="shared" si="14"/>
        <v>0</v>
      </c>
      <c r="AF11">
        <f t="shared" si="15"/>
        <v>0</v>
      </c>
      <c r="AG11">
        <f t="shared" si="16"/>
        <v>0</v>
      </c>
      <c r="AH11">
        <f t="shared" si="17"/>
        <v>1</v>
      </c>
    </row>
    <row r="12" ht="15.6" spans="1:34">
      <c r="A12" s="9" t="s">
        <v>274</v>
      </c>
      <c r="B12" s="10">
        <v>8</v>
      </c>
      <c r="C12" s="35">
        <v>716</v>
      </c>
      <c r="D12">
        <f t="shared" si="0"/>
        <v>0.0195272709520663</v>
      </c>
      <c r="E12" s="9" t="s">
        <v>194</v>
      </c>
      <c r="F12" s="10">
        <v>8</v>
      </c>
      <c r="G12">
        <f>数据表!I13</f>
        <v>4</v>
      </c>
      <c r="H12">
        <f>D28*D12</f>
        <v>0</v>
      </c>
      <c r="I12">
        <f>E28*D12</f>
        <v>0</v>
      </c>
      <c r="J12">
        <f t="shared" si="3"/>
        <v>0</v>
      </c>
      <c r="K12">
        <f t="shared" si="4"/>
        <v>0</v>
      </c>
      <c r="L12">
        <f>VLOOKUP(G12,A32:E57,4,0)</f>
        <v>91.7275883667094</v>
      </c>
      <c r="M12">
        <f>VLOOKUP(G12,A32:E57,5,0)</f>
        <v>89.1893091460939</v>
      </c>
      <c r="N12">
        <f t="shared" si="5"/>
        <v>0</v>
      </c>
      <c r="O12">
        <f t="shared" si="6"/>
        <v>0</v>
      </c>
      <c r="P12">
        <f t="shared" si="7"/>
        <v>91.7275883667094</v>
      </c>
      <c r="Q12">
        <f t="shared" si="8"/>
        <v>89.1893091460939</v>
      </c>
      <c r="R12">
        <f t="shared" si="9"/>
        <v>0</v>
      </c>
      <c r="S12">
        <f>'倾向-优先级表'!M14</f>
        <v>15</v>
      </c>
      <c r="T12">
        <f t="shared" si="10"/>
        <v>0</v>
      </c>
      <c r="U12">
        <f>T12/T28*100</f>
        <v>0</v>
      </c>
      <c r="V12">
        <f t="shared" si="11"/>
        <v>0</v>
      </c>
      <c r="W12">
        <f>V12/V28</f>
        <v>0</v>
      </c>
      <c r="X12">
        <f>数据表!N13</f>
        <v>0.75</v>
      </c>
      <c r="Y12">
        <f>数据表!O13</f>
        <v>0</v>
      </c>
      <c r="Z12">
        <f>数据表!Q13</f>
        <v>0.011</v>
      </c>
      <c r="AA12">
        <f>数据表!S13</f>
        <v>8000</v>
      </c>
      <c r="AB12">
        <f t="shared" ref="AB12:AD12" si="26">O61</f>
        <v>4.94926051008886e-5</v>
      </c>
      <c r="AC12">
        <f t="shared" si="26"/>
        <v>0.000178482496411143</v>
      </c>
      <c r="AD12">
        <f t="shared" si="26"/>
        <v>1.12354814805323e-5</v>
      </c>
      <c r="AE12">
        <f t="shared" si="14"/>
        <v>0</v>
      </c>
      <c r="AF12">
        <f t="shared" si="15"/>
        <v>0</v>
      </c>
      <c r="AG12">
        <f t="shared" si="16"/>
        <v>0</v>
      </c>
      <c r="AH12">
        <f t="shared" si="17"/>
        <v>1</v>
      </c>
    </row>
    <row r="13" ht="15.6" spans="1:34">
      <c r="A13" s="9" t="s">
        <v>274</v>
      </c>
      <c r="B13" s="10">
        <v>0.5</v>
      </c>
      <c r="C13" s="35">
        <v>129</v>
      </c>
      <c r="D13">
        <f t="shared" si="0"/>
        <v>0.00351818149834714</v>
      </c>
      <c r="E13" s="9" t="s">
        <v>194</v>
      </c>
      <c r="F13" s="10">
        <v>0.5</v>
      </c>
      <c r="G13">
        <f>数据表!I14</f>
        <v>8</v>
      </c>
      <c r="H13">
        <f>D28*D13</f>
        <v>0</v>
      </c>
      <c r="I13">
        <f>E28*D13</f>
        <v>0</v>
      </c>
      <c r="J13">
        <f t="shared" si="3"/>
        <v>0</v>
      </c>
      <c r="K13">
        <f t="shared" si="4"/>
        <v>0</v>
      </c>
      <c r="L13">
        <f>VLOOKUP(G13,A32:E57,4,0)</f>
        <v>59.8885030311465</v>
      </c>
      <c r="M13">
        <f>VLOOKUP(G13,A32:E57,5,0)</f>
        <v>50.7523953496568</v>
      </c>
      <c r="N13">
        <f t="shared" si="5"/>
        <v>0</v>
      </c>
      <c r="O13">
        <f t="shared" si="6"/>
        <v>0</v>
      </c>
      <c r="P13">
        <f t="shared" si="7"/>
        <v>59.8885030311465</v>
      </c>
      <c r="Q13">
        <f t="shared" si="8"/>
        <v>50.7523953496568</v>
      </c>
      <c r="R13">
        <f t="shared" si="9"/>
        <v>0</v>
      </c>
      <c r="S13">
        <f>'倾向-优先级表'!M14</f>
        <v>15</v>
      </c>
      <c r="T13">
        <f t="shared" si="10"/>
        <v>0</v>
      </c>
      <c r="U13">
        <f>T13/T28*100</f>
        <v>0</v>
      </c>
      <c r="V13">
        <f t="shared" si="11"/>
        <v>0</v>
      </c>
      <c r="W13">
        <f>V13/V28</f>
        <v>0</v>
      </c>
      <c r="X13">
        <f>数据表!N14</f>
        <v>17.61</v>
      </c>
      <c r="Y13">
        <f>数据表!O14</f>
        <v>0</v>
      </c>
      <c r="Z13">
        <f>数据表!Q14</f>
        <v>0.25</v>
      </c>
      <c r="AA13">
        <f>数据表!S14</f>
        <v>14500</v>
      </c>
      <c r="AB13">
        <f t="shared" ref="AB13:AD13" si="27">O61</f>
        <v>4.94926051008886e-5</v>
      </c>
      <c r="AC13">
        <f t="shared" si="27"/>
        <v>0.000178482496411143</v>
      </c>
      <c r="AD13">
        <f t="shared" si="27"/>
        <v>1.12354814805323e-5</v>
      </c>
      <c r="AE13">
        <f t="shared" si="14"/>
        <v>0</v>
      </c>
      <c r="AF13">
        <f t="shared" si="15"/>
        <v>0</v>
      </c>
      <c r="AG13">
        <f t="shared" si="16"/>
        <v>0</v>
      </c>
      <c r="AH13">
        <f t="shared" si="17"/>
        <v>1</v>
      </c>
    </row>
    <row r="14" ht="15.6" spans="1:34">
      <c r="A14" s="36"/>
      <c r="B14" s="37"/>
      <c r="C14" s="38"/>
      <c r="D14">
        <f t="shared" si="0"/>
        <v>0</v>
      </c>
      <c r="E14" s="15" t="s">
        <v>199</v>
      </c>
      <c r="F14" s="16">
        <v>2.5</v>
      </c>
      <c r="G14">
        <f>数据表!I15</f>
        <v>10</v>
      </c>
      <c r="H14">
        <f>D10*D29</f>
        <v>0.131372715329753</v>
      </c>
      <c r="I14">
        <f>E29*D10</f>
        <v>0.0202111869738082</v>
      </c>
      <c r="J14">
        <f t="shared" si="3"/>
        <v>0.434540519936875</v>
      </c>
      <c r="K14">
        <f t="shared" si="4"/>
        <v>0.0118511040118144</v>
      </c>
      <c r="L14">
        <f>VLOOKUP(G14,A32:E57,4,0)</f>
        <v>58.0404521453947</v>
      </c>
      <c r="M14">
        <f>VLOOKUP(G14,A32:E57,5,0)</f>
        <v>48.7557280925154</v>
      </c>
      <c r="N14">
        <f t="shared" si="5"/>
        <v>0.248978363476009</v>
      </c>
      <c r="O14">
        <f t="shared" si="6"/>
        <v>0.304603486023356</v>
      </c>
      <c r="P14">
        <f t="shared" si="7"/>
        <v>43.5896353548267</v>
      </c>
      <c r="Q14">
        <f t="shared" si="8"/>
        <v>33.9045633519284</v>
      </c>
      <c r="R14">
        <f t="shared" si="9"/>
        <v>18.5499692087344</v>
      </c>
      <c r="S14">
        <f>'倾向-优先级表'!M14</f>
        <v>15</v>
      </c>
      <c r="T14">
        <f t="shared" si="10"/>
        <v>18.5499692087344</v>
      </c>
      <c r="U14">
        <f>T14/T28*100</f>
        <v>22.2709438449978</v>
      </c>
      <c r="V14">
        <f t="shared" si="11"/>
        <v>0</v>
      </c>
      <c r="W14">
        <f>V14/V28</f>
        <v>0</v>
      </c>
      <c r="X14">
        <f>数据表!N15</f>
        <v>0</v>
      </c>
      <c r="Y14">
        <f>数据表!O15</f>
        <v>0.61</v>
      </c>
      <c r="Z14">
        <f>数据表!Q15</f>
        <v>0.014</v>
      </c>
      <c r="AA14">
        <f>数据表!S15</f>
        <v>8000</v>
      </c>
      <c r="AB14">
        <f t="shared" ref="AB14:AD14" si="28">O61</f>
        <v>4.94926051008886e-5</v>
      </c>
      <c r="AC14">
        <f t="shared" si="28"/>
        <v>0.000178482496411143</v>
      </c>
      <c r="AD14">
        <f t="shared" si="28"/>
        <v>1.12354814805323e-5</v>
      </c>
      <c r="AE14">
        <f t="shared" si="14"/>
        <v>0</v>
      </c>
      <c r="AF14">
        <f t="shared" si="15"/>
        <v>0</v>
      </c>
      <c r="AG14">
        <f t="shared" si="16"/>
        <v>0</v>
      </c>
      <c r="AH14">
        <f t="shared" si="17"/>
        <v>0.62916615717597</v>
      </c>
    </row>
    <row r="15" ht="15.6" spans="1:34">
      <c r="A15" s="36"/>
      <c r="B15" s="37"/>
      <c r="C15" s="38"/>
      <c r="D15">
        <f t="shared" si="0"/>
        <v>0</v>
      </c>
      <c r="E15" s="7" t="s">
        <v>199</v>
      </c>
      <c r="F15" s="8">
        <v>5</v>
      </c>
      <c r="G15">
        <f>数据表!I16</f>
        <v>5</v>
      </c>
      <c r="H15">
        <f>D11*D29</f>
        <v>0.082799992472728</v>
      </c>
      <c r="I15">
        <f>E29*D11</f>
        <v>0.0127384603804197</v>
      </c>
      <c r="J15">
        <f t="shared" si="3"/>
        <v>0.273876898179023</v>
      </c>
      <c r="K15">
        <f t="shared" si="4"/>
        <v>0.00746936927130343</v>
      </c>
      <c r="L15">
        <f>VLOOKUP(G15,A32:E57,4,0)</f>
        <v>91.7275883667094</v>
      </c>
      <c r="M15">
        <f>VLOOKUP(G15,A32:E57,5,0)</f>
        <v>89.1893091460939</v>
      </c>
      <c r="N15">
        <f t="shared" si="5"/>
        <v>0.169202898023826</v>
      </c>
      <c r="O15">
        <f t="shared" si="6"/>
        <v>0.216134999769816</v>
      </c>
      <c r="P15">
        <f t="shared" si="7"/>
        <v>76.2070145863256</v>
      </c>
      <c r="Q15">
        <f t="shared" si="8"/>
        <v>69.9123778343328</v>
      </c>
      <c r="R15">
        <f t="shared" si="9"/>
        <v>20.7109728126376</v>
      </c>
      <c r="S15">
        <f>'倾向-优先级表'!M14</f>
        <v>15</v>
      </c>
      <c r="T15">
        <f t="shared" si="10"/>
        <v>20.7109728126376</v>
      </c>
      <c r="U15">
        <f>T15/T28*100</f>
        <v>24.8654273921028</v>
      </c>
      <c r="V15">
        <f t="shared" si="11"/>
        <v>0</v>
      </c>
      <c r="W15">
        <f>V15/V28</f>
        <v>0</v>
      </c>
      <c r="X15">
        <f>数据表!N16</f>
        <v>0</v>
      </c>
      <c r="Y15">
        <f>数据表!O16</f>
        <v>0.51</v>
      </c>
      <c r="Z15">
        <f>数据表!Q16</f>
        <v>0.01</v>
      </c>
      <c r="AA15">
        <f>数据表!S16</f>
        <v>8000</v>
      </c>
      <c r="AB15">
        <f t="shared" ref="AB15:AD15" si="29">O61</f>
        <v>4.94926051008886e-5</v>
      </c>
      <c r="AC15">
        <f t="shared" si="29"/>
        <v>0.000178482496411143</v>
      </c>
      <c r="AD15">
        <f t="shared" si="29"/>
        <v>1.12354814805323e-5</v>
      </c>
      <c r="AE15">
        <f t="shared" si="14"/>
        <v>0</v>
      </c>
      <c r="AF15">
        <f t="shared" si="15"/>
        <v>0</v>
      </c>
      <c r="AG15">
        <f t="shared" si="16"/>
        <v>0</v>
      </c>
      <c r="AH15">
        <f t="shared" si="17"/>
        <v>0.752067092815587</v>
      </c>
    </row>
    <row r="16" ht="15.6" spans="1:34">
      <c r="A16" s="36"/>
      <c r="B16" s="37"/>
      <c r="C16" s="38"/>
      <c r="D16">
        <f t="shared" si="0"/>
        <v>0</v>
      </c>
      <c r="E16" s="9" t="s">
        <v>199</v>
      </c>
      <c r="F16" s="10">
        <v>8</v>
      </c>
      <c r="G16">
        <f>数据表!I17</f>
        <v>3</v>
      </c>
      <c r="H16">
        <f>D12*D29</f>
        <v>0.0195272709520663</v>
      </c>
      <c r="I16">
        <f>E29*D12</f>
        <v>0.00300419553108712</v>
      </c>
      <c r="J16">
        <f t="shared" si="3"/>
        <v>0.0645902039183731</v>
      </c>
      <c r="K16">
        <f t="shared" si="4"/>
        <v>0.00176155085581464</v>
      </c>
      <c r="L16">
        <f>VLOOKUP(G16,A32:E57,4,0)</f>
        <v>96.0563141126802</v>
      </c>
      <c r="M16">
        <f>VLOOKUP(G16,A32:E57,5,0)</f>
        <v>95.0006294515319</v>
      </c>
      <c r="N16">
        <f t="shared" si="5"/>
        <v>0.0438208609568591</v>
      </c>
      <c r="O16">
        <f t="shared" si="6"/>
        <v>0.0589786985725416</v>
      </c>
      <c r="P16">
        <f t="shared" si="7"/>
        <v>91.8470437279201</v>
      </c>
      <c r="Q16">
        <f t="shared" si="8"/>
        <v>89.3976159629082</v>
      </c>
      <c r="R16">
        <f t="shared" si="9"/>
        <v>5.91770216379535</v>
      </c>
      <c r="S16">
        <f>'倾向-优先级表'!M14</f>
        <v>15</v>
      </c>
      <c r="T16">
        <f t="shared" si="10"/>
        <v>5.91770216379535</v>
      </c>
      <c r="U16">
        <f>T16/T28*100</f>
        <v>7.10474562508989</v>
      </c>
      <c r="V16">
        <f t="shared" si="11"/>
        <v>0</v>
      </c>
      <c r="W16">
        <f>V16/V28</f>
        <v>0</v>
      </c>
      <c r="X16">
        <f>数据表!N17</f>
        <v>0</v>
      </c>
      <c r="Y16">
        <f>数据表!O17</f>
        <v>0.51</v>
      </c>
      <c r="Z16">
        <f>数据表!Q17</f>
        <v>0.011</v>
      </c>
      <c r="AA16">
        <f>数据表!S17</f>
        <v>8000</v>
      </c>
      <c r="AB16">
        <f t="shared" ref="AB16:AD16" si="30">O61</f>
        <v>4.94926051008886e-5</v>
      </c>
      <c r="AC16">
        <f t="shared" si="30"/>
        <v>0.000178482496411143</v>
      </c>
      <c r="AD16">
        <f t="shared" si="30"/>
        <v>1.12354814805323e-5</v>
      </c>
      <c r="AE16">
        <f t="shared" si="14"/>
        <v>0</v>
      </c>
      <c r="AF16">
        <f t="shared" si="15"/>
        <v>0</v>
      </c>
      <c r="AG16">
        <f t="shared" si="16"/>
        <v>0</v>
      </c>
      <c r="AH16">
        <f t="shared" si="17"/>
        <v>0.936899953645047</v>
      </c>
    </row>
    <row r="17" ht="16.35" spans="1:34">
      <c r="A17" s="39"/>
      <c r="B17" s="40"/>
      <c r="C17" s="38"/>
      <c r="D17">
        <f t="shared" si="0"/>
        <v>0</v>
      </c>
      <c r="E17" s="20" t="s">
        <v>199</v>
      </c>
      <c r="F17" s="21">
        <v>0.5</v>
      </c>
      <c r="G17">
        <f>数据表!I18</f>
        <v>2</v>
      </c>
      <c r="H17">
        <f>D13*D29</f>
        <v>0.00351818149834714</v>
      </c>
      <c r="I17">
        <f>E29*D13</f>
        <v>0.000541258692053406</v>
      </c>
      <c r="J17">
        <f t="shared" si="3"/>
        <v>0.0116370618791482</v>
      </c>
      <c r="K17">
        <f t="shared" si="4"/>
        <v>0.000317374386033644</v>
      </c>
      <c r="L17">
        <f>VLOOKUP(G17,A32:E57,4,0)</f>
        <v>96.8492751763828</v>
      </c>
      <c r="M17">
        <f>VLOOKUP(G17,A32:E57,5,0)</f>
        <v>96.0749194936557</v>
      </c>
      <c r="N17">
        <f t="shared" si="5"/>
        <v>0.00807835165275696</v>
      </c>
      <c r="O17">
        <f t="shared" si="6"/>
        <v>0.0110103029438842</v>
      </c>
      <c r="P17">
        <f t="shared" si="7"/>
        <v>96.0668926741934</v>
      </c>
      <c r="Q17">
        <f t="shared" si="8"/>
        <v>95.0171055247212</v>
      </c>
      <c r="R17">
        <f t="shared" si="9"/>
        <v>1.11679996174816</v>
      </c>
      <c r="S17">
        <f>'倾向-优先级表'!M14</f>
        <v>15</v>
      </c>
      <c r="T17">
        <f t="shared" si="10"/>
        <v>1.11679996174816</v>
      </c>
      <c r="U17">
        <f>T17/T28*100</f>
        <v>1.3408210522785</v>
      </c>
      <c r="V17">
        <f t="shared" si="11"/>
        <v>0</v>
      </c>
      <c r="W17">
        <f>V17/V28</f>
        <v>0</v>
      </c>
      <c r="X17">
        <f>数据表!N18</f>
        <v>0</v>
      </c>
      <c r="Y17">
        <f>数据表!O18</f>
        <v>11.77</v>
      </c>
      <c r="Z17">
        <f>数据表!Q18</f>
        <v>0.25</v>
      </c>
      <c r="AA17">
        <f>数据表!S18</f>
        <v>14500</v>
      </c>
      <c r="AB17">
        <f t="shared" ref="AB17:AD17" si="31">O61</f>
        <v>4.94926051008886e-5</v>
      </c>
      <c r="AC17">
        <f t="shared" si="31"/>
        <v>0.000178482496411143</v>
      </c>
      <c r="AD17">
        <f t="shared" si="31"/>
        <v>1.12354814805323e-5</v>
      </c>
      <c r="AE17">
        <f t="shared" si="14"/>
        <v>0</v>
      </c>
      <c r="AF17">
        <f t="shared" si="15"/>
        <v>0</v>
      </c>
      <c r="AG17">
        <f t="shared" si="16"/>
        <v>0</v>
      </c>
      <c r="AH17">
        <f t="shared" si="17"/>
        <v>0.988411702585271</v>
      </c>
    </row>
    <row r="18" ht="15.6" spans="1:34">
      <c r="A18" s="13" t="s">
        <v>204</v>
      </c>
      <c r="B18" s="14">
        <v>1.5</v>
      </c>
      <c r="C18" s="35">
        <v>3436</v>
      </c>
      <c r="D18">
        <f t="shared" si="0"/>
        <v>0.0937090823900834</v>
      </c>
      <c r="E18" s="13" t="s">
        <v>204</v>
      </c>
      <c r="F18" s="14">
        <v>1.5</v>
      </c>
      <c r="G18">
        <f>数据表!I19</f>
        <v>17</v>
      </c>
      <c r="H18">
        <f t="shared" ref="H18:H27" si="32">D18</f>
        <v>0.0937090823900834</v>
      </c>
      <c r="I18">
        <f t="shared" ref="I18:I27" si="33">H18/3</f>
        <v>0.0312363607966945</v>
      </c>
      <c r="J18">
        <f t="shared" si="3"/>
        <v>0.343599968763639</v>
      </c>
      <c r="K18">
        <f t="shared" si="4"/>
        <v>0.00937090738710767</v>
      </c>
      <c r="L18">
        <f>VLOOKUP(G18,A32:E57,4,0)</f>
        <v>17.3634477843508</v>
      </c>
      <c r="M18">
        <f>VLOOKUP(G18,A32:E57,5,0)</f>
        <v>9.57956716897562</v>
      </c>
      <c r="N18">
        <f t="shared" si="5"/>
        <v>0.209119753481764</v>
      </c>
      <c r="O18">
        <f t="shared" si="6"/>
        <v>0.246947031045051</v>
      </c>
      <c r="P18">
        <f t="shared" si="7"/>
        <v>13.7324078640939</v>
      </c>
      <c r="Q18">
        <f t="shared" si="8"/>
        <v>7.21392149790045</v>
      </c>
      <c r="R18">
        <f t="shared" si="9"/>
        <v>4.31122732918671</v>
      </c>
      <c r="S18">
        <f>'倾向-优先级表'!M14</f>
        <v>15</v>
      </c>
      <c r="T18">
        <f t="shared" si="10"/>
        <v>0</v>
      </c>
      <c r="U18">
        <f>T18/T28*100</f>
        <v>0</v>
      </c>
      <c r="V18">
        <f t="shared" si="11"/>
        <v>4.31122732918671</v>
      </c>
      <c r="W18">
        <f>V18/V28</f>
        <v>0.362646038990628</v>
      </c>
      <c r="X18">
        <f>数据表!N19</f>
        <v>0.58</v>
      </c>
      <c r="Y18">
        <f>数据表!O19</f>
        <v>0.15</v>
      </c>
      <c r="Z18">
        <f>数据表!Q19</f>
        <v>0.016</v>
      </c>
      <c r="AA18">
        <f>数据表!S19</f>
        <v>8000</v>
      </c>
      <c r="AB18">
        <f t="shared" ref="AB18:AD18" si="34">O61</f>
        <v>4.94926051008886e-5</v>
      </c>
      <c r="AC18">
        <f t="shared" si="34"/>
        <v>0.000178482496411143</v>
      </c>
      <c r="AD18">
        <f t="shared" si="34"/>
        <v>1.12354814805323e-5</v>
      </c>
      <c r="AE18">
        <f t="shared" si="14"/>
        <v>0.0667483250212473</v>
      </c>
      <c r="AF18">
        <f t="shared" si="15"/>
        <v>-0.463410856972685</v>
      </c>
      <c r="AG18">
        <f t="shared" si="16"/>
        <v>-0.0267936862166907</v>
      </c>
      <c r="AH18">
        <f t="shared" si="17"/>
        <v>0.698616024697181</v>
      </c>
    </row>
    <row r="19" ht="15.6" spans="1:34">
      <c r="A19" s="15" t="s">
        <v>204</v>
      </c>
      <c r="B19" s="16">
        <v>2.5</v>
      </c>
      <c r="C19" s="35">
        <v>2346</v>
      </c>
      <c r="D19">
        <f t="shared" si="0"/>
        <v>0.0639818123652898</v>
      </c>
      <c r="E19" s="15" t="s">
        <v>204</v>
      </c>
      <c r="F19" s="16">
        <v>2.5</v>
      </c>
      <c r="G19">
        <f>数据表!I20</f>
        <v>15</v>
      </c>
      <c r="H19">
        <f t="shared" si="32"/>
        <v>0.0639818123652898</v>
      </c>
      <c r="I19">
        <f t="shared" si="33"/>
        <v>0.0213272707884299</v>
      </c>
      <c r="J19">
        <f t="shared" si="3"/>
        <v>0.234599978672729</v>
      </c>
      <c r="K19">
        <f t="shared" si="4"/>
        <v>0.00639818065487619</v>
      </c>
      <c r="L19">
        <f>VLOOKUP(G19,A32:E57,4,0)</f>
        <v>28.7297789248156</v>
      </c>
      <c r="M19">
        <f>VLOOKUP(G19,A32:E57,5,0)</f>
        <v>18.7451439834048</v>
      </c>
      <c r="N19">
        <f t="shared" si="5"/>
        <v>0.151295664014583</v>
      </c>
      <c r="O19">
        <f t="shared" si="6"/>
        <v>0.18207250861501</v>
      </c>
      <c r="P19">
        <f t="shared" si="7"/>
        <v>24.3830879453934</v>
      </c>
      <c r="Q19">
        <f t="shared" si="8"/>
        <v>15.3321685939967</v>
      </c>
      <c r="R19">
        <f t="shared" si="9"/>
        <v>5.33420909618162</v>
      </c>
      <c r="S19">
        <f>'倾向-优先级表'!M14</f>
        <v>15</v>
      </c>
      <c r="T19">
        <f t="shared" si="10"/>
        <v>5.33420909618162</v>
      </c>
      <c r="U19">
        <f>T19/T28*100</f>
        <v>6.40420854082065</v>
      </c>
      <c r="V19">
        <f t="shared" si="11"/>
        <v>0</v>
      </c>
      <c r="W19">
        <f>V19/V28</f>
        <v>0</v>
      </c>
      <c r="X19">
        <f>数据表!N20</f>
        <v>0.45</v>
      </c>
      <c r="Y19">
        <f>数据表!O20</f>
        <v>0.1</v>
      </c>
      <c r="Z19">
        <f>数据表!Q20</f>
        <v>0.014</v>
      </c>
      <c r="AA19">
        <f>数据表!S20</f>
        <v>8000</v>
      </c>
      <c r="AB19">
        <f t="shared" ref="AB19:AD19" si="35">O61</f>
        <v>4.94926051008886e-5</v>
      </c>
      <c r="AC19">
        <f t="shared" si="35"/>
        <v>0.000178482496411143</v>
      </c>
      <c r="AD19">
        <f t="shared" si="35"/>
        <v>1.12354814805323e-5</v>
      </c>
      <c r="AE19">
        <f t="shared" si="14"/>
        <v>0</v>
      </c>
      <c r="AF19">
        <f t="shared" si="15"/>
        <v>0</v>
      </c>
      <c r="AG19">
        <f t="shared" si="16"/>
        <v>0</v>
      </c>
      <c r="AH19">
        <f t="shared" si="17"/>
        <v>0.785466805812577</v>
      </c>
    </row>
    <row r="20" ht="16.35" spans="1:34">
      <c r="A20" s="22" t="s">
        <v>204</v>
      </c>
      <c r="B20" s="23">
        <v>4</v>
      </c>
      <c r="C20" s="35">
        <v>1793</v>
      </c>
      <c r="D20">
        <f t="shared" si="0"/>
        <v>0.0488999955545459</v>
      </c>
      <c r="E20" s="22" t="s">
        <v>204</v>
      </c>
      <c r="F20" s="23">
        <v>4</v>
      </c>
      <c r="G20">
        <f>数据表!I21</f>
        <v>7</v>
      </c>
      <c r="H20">
        <f t="shared" si="32"/>
        <v>0.0488999955545459</v>
      </c>
      <c r="I20">
        <f t="shared" si="33"/>
        <v>0.016299998518182</v>
      </c>
      <c r="J20">
        <f t="shared" si="3"/>
        <v>0.179299983700001</v>
      </c>
      <c r="K20">
        <f t="shared" si="4"/>
        <v>0.00488999911090921</v>
      </c>
      <c r="L20">
        <f>VLOOKUP(G20,A32:E57,4,0)</f>
        <v>69.6562261292769</v>
      </c>
      <c r="M20">
        <f>VLOOKUP(G20,A32:E57,5,0)</f>
        <v>61.5446768675028</v>
      </c>
      <c r="N20">
        <f t="shared" si="5"/>
        <v>0.11901890268852</v>
      </c>
      <c r="O20">
        <f t="shared" si="6"/>
        <v>0.144564265638356</v>
      </c>
      <c r="P20">
        <f t="shared" si="7"/>
        <v>61.3658185299469</v>
      </c>
      <c r="Q20">
        <f t="shared" si="8"/>
        <v>52.6475158522024</v>
      </c>
      <c r="R20">
        <f t="shared" si="9"/>
        <v>10.7186736207001</v>
      </c>
      <c r="S20">
        <f>'倾向-优先级表'!M14</f>
        <v>15</v>
      </c>
      <c r="T20">
        <f t="shared" si="10"/>
        <v>10.7186736207001</v>
      </c>
      <c r="U20">
        <f>T20/T28*100</f>
        <v>12.8687533447263</v>
      </c>
      <c r="V20">
        <f t="shared" si="11"/>
        <v>0</v>
      </c>
      <c r="W20">
        <f>V20/V28</f>
        <v>0</v>
      </c>
      <c r="X20">
        <f>数据表!N21</f>
        <v>0.52</v>
      </c>
      <c r="Y20">
        <f>数据表!O21</f>
        <v>0.14</v>
      </c>
      <c r="Z20">
        <f>数据表!Q21</f>
        <v>0.026</v>
      </c>
      <c r="AA20">
        <f>数据表!S21</f>
        <v>8000</v>
      </c>
      <c r="AB20">
        <f t="shared" ref="AB20:AD20" si="36">O61</f>
        <v>4.94926051008886e-5</v>
      </c>
      <c r="AC20">
        <f t="shared" si="36"/>
        <v>0.000178482496411143</v>
      </c>
      <c r="AD20">
        <f t="shared" si="36"/>
        <v>1.12354814805323e-5</v>
      </c>
      <c r="AE20">
        <f t="shared" si="14"/>
        <v>0</v>
      </c>
      <c r="AF20">
        <f t="shared" si="15"/>
        <v>0</v>
      </c>
      <c r="AG20">
        <f t="shared" si="16"/>
        <v>0</v>
      </c>
      <c r="AH20">
        <f t="shared" si="17"/>
        <v>0.832537673770187</v>
      </c>
    </row>
    <row r="21" ht="15.6" spans="1:34">
      <c r="A21" s="19" t="s">
        <v>208</v>
      </c>
      <c r="B21" s="6">
        <v>2</v>
      </c>
      <c r="C21" s="35">
        <v>709</v>
      </c>
      <c r="D21">
        <f t="shared" si="0"/>
        <v>0.0193363618785126</v>
      </c>
      <c r="E21" s="19" t="s">
        <v>208</v>
      </c>
      <c r="F21" s="6">
        <v>2</v>
      </c>
      <c r="G21">
        <f>数据表!I22</f>
        <v>21</v>
      </c>
      <c r="H21">
        <f t="shared" si="32"/>
        <v>0.0193363618785126</v>
      </c>
      <c r="I21">
        <f t="shared" si="33"/>
        <v>0.00644545395950419</v>
      </c>
      <c r="J21">
        <f t="shared" si="3"/>
        <v>0.070899993554546</v>
      </c>
      <c r="K21">
        <f t="shared" si="4"/>
        <v>0.00193363601206616</v>
      </c>
      <c r="L21">
        <f>VLOOKUP(G21,A32:E57,4,0)</f>
        <v>5.24883725015443</v>
      </c>
      <c r="M21">
        <f>VLOOKUP(G21,A32:E57,5,0)</f>
        <v>1.85935029294318</v>
      </c>
      <c r="N21">
        <f t="shared" si="5"/>
        <v>0.04975491834555</v>
      </c>
      <c r="O21">
        <f t="shared" si="6"/>
        <v>0.0615065726744147</v>
      </c>
      <c r="P21">
        <f t="shared" si="7"/>
        <v>4.98768178136391</v>
      </c>
      <c r="Q21">
        <f t="shared" si="8"/>
        <v>1.74498802902308</v>
      </c>
      <c r="R21">
        <f t="shared" si="9"/>
        <v>0.311825339579859</v>
      </c>
      <c r="S21">
        <f>'倾向-优先级表'!M14</f>
        <v>15</v>
      </c>
      <c r="T21">
        <f t="shared" si="10"/>
        <v>0</v>
      </c>
      <c r="U21">
        <f>T21/T28*100</f>
        <v>0</v>
      </c>
      <c r="V21">
        <f t="shared" si="11"/>
        <v>0.311825339579859</v>
      </c>
      <c r="W21">
        <f>V21/V28</f>
        <v>0.0262297057475918</v>
      </c>
      <c r="X21">
        <f>数据表!N22</f>
        <v>0</v>
      </c>
      <c r="Y21">
        <f>数据表!O22</f>
        <v>0</v>
      </c>
      <c r="Z21">
        <f>数据表!Q22</f>
        <v>0.018</v>
      </c>
      <c r="AA21">
        <f>数据表!S22</f>
        <v>8000</v>
      </c>
      <c r="AB21">
        <f t="shared" ref="AB21:AD21" si="37">O61</f>
        <v>4.94926051008886e-5</v>
      </c>
      <c r="AC21">
        <f t="shared" si="37"/>
        <v>0.000178482496411143</v>
      </c>
      <c r="AD21">
        <f t="shared" si="37"/>
        <v>1.12354814805323e-5</v>
      </c>
      <c r="AE21">
        <f t="shared" si="14"/>
        <v>-0.0103854117478245</v>
      </c>
      <c r="AF21">
        <f t="shared" si="15"/>
        <v>-0.037452346895679</v>
      </c>
      <c r="AG21">
        <f t="shared" si="16"/>
        <v>-0.00188549228187838</v>
      </c>
      <c r="AH21">
        <f t="shared" si="17"/>
        <v>0.930987065049682</v>
      </c>
    </row>
    <row r="22" ht="16.35" spans="1:34">
      <c r="A22" s="24" t="s">
        <v>208</v>
      </c>
      <c r="B22" s="25">
        <v>2</v>
      </c>
      <c r="C22" s="35">
        <v>482</v>
      </c>
      <c r="D22">
        <f t="shared" si="0"/>
        <v>0.0131454533504133</v>
      </c>
      <c r="E22" s="24" t="s">
        <v>208</v>
      </c>
      <c r="F22" s="25">
        <v>2</v>
      </c>
      <c r="G22">
        <f>数据表!I23</f>
        <v>20</v>
      </c>
      <c r="H22">
        <f t="shared" si="32"/>
        <v>0.0131454533504133</v>
      </c>
      <c r="I22">
        <f t="shared" si="33"/>
        <v>0.00438181778347111</v>
      </c>
      <c r="J22">
        <f t="shared" si="3"/>
        <v>0.0481999956181822</v>
      </c>
      <c r="K22">
        <f t="shared" si="4"/>
        <v>0.00131454521553722</v>
      </c>
      <c r="L22">
        <f>VLOOKUP(G22,A32:E57,4,0)</f>
        <v>5.80718181235712</v>
      </c>
      <c r="M22">
        <f>VLOOKUP(G22,A32:E57,5,0)</f>
        <v>2.14039986395169</v>
      </c>
      <c r="N22">
        <f t="shared" si="5"/>
        <v>0.0342157721325218</v>
      </c>
      <c r="O22">
        <f t="shared" si="6"/>
        <v>0.0424493439081497</v>
      </c>
      <c r="P22">
        <f t="shared" si="7"/>
        <v>5.60848460273338</v>
      </c>
      <c r="Q22">
        <f t="shared" si="8"/>
        <v>2.04954129402585</v>
      </c>
      <c r="R22">
        <f t="shared" si="9"/>
        <v>0.23913965111547</v>
      </c>
      <c r="S22">
        <f>'倾向-优先级表'!M14</f>
        <v>15</v>
      </c>
      <c r="T22">
        <f t="shared" si="10"/>
        <v>0</v>
      </c>
      <c r="U22">
        <f>T22/T28*100</f>
        <v>0</v>
      </c>
      <c r="V22">
        <f t="shared" si="11"/>
        <v>0.23913965111547</v>
      </c>
      <c r="W22">
        <f>V22/V28</f>
        <v>0.0201156284790452</v>
      </c>
      <c r="X22">
        <f>数据表!N23</f>
        <v>0</v>
      </c>
      <c r="Y22">
        <f>数据表!O23</f>
        <v>0</v>
      </c>
      <c r="Z22">
        <f>数据表!Q23</f>
        <v>0.021</v>
      </c>
      <c r="AA22">
        <f>数据表!S23</f>
        <v>8000</v>
      </c>
      <c r="AB22">
        <f t="shared" ref="AB22:AD22" si="38">O61</f>
        <v>4.94926051008886e-5</v>
      </c>
      <c r="AC22">
        <f t="shared" si="38"/>
        <v>0.000178482496411143</v>
      </c>
      <c r="AD22">
        <f t="shared" si="38"/>
        <v>1.12354814805323e-5</v>
      </c>
      <c r="AE22">
        <f t="shared" si="14"/>
        <v>-0.00796459885335657</v>
      </c>
      <c r="AF22">
        <f t="shared" si="15"/>
        <v>-0.0287223007025525</v>
      </c>
      <c r="AG22">
        <f t="shared" si="16"/>
        <v>-0.00138564197190469</v>
      </c>
      <c r="AH22">
        <f t="shared" si="17"/>
        <v>0.952675677334966</v>
      </c>
    </row>
    <row r="23" ht="15.6" spans="1:34">
      <c r="A23" s="26" t="s">
        <v>211</v>
      </c>
      <c r="B23" s="27">
        <v>4</v>
      </c>
      <c r="C23" s="35">
        <v>361</v>
      </c>
      <c r="D23">
        <f t="shared" si="0"/>
        <v>0.00984545365041331</v>
      </c>
      <c r="E23" s="26" t="s">
        <v>211</v>
      </c>
      <c r="F23" s="27">
        <v>4</v>
      </c>
      <c r="G23">
        <f>数据表!I24</f>
        <v>9</v>
      </c>
      <c r="H23">
        <f t="shared" si="32"/>
        <v>0.00984545365041331</v>
      </c>
      <c r="I23">
        <f t="shared" si="33"/>
        <v>0.0032818178834711</v>
      </c>
      <c r="J23">
        <f t="shared" si="3"/>
        <v>0.0360999967181821</v>
      </c>
      <c r="K23">
        <f t="shared" si="4"/>
        <v>0.000984545275537214</v>
      </c>
      <c r="L23">
        <f>VLOOKUP(G23,A32:E57,4,0)</f>
        <v>59.8885030311465</v>
      </c>
      <c r="M23">
        <f>VLOOKUP(G23,A32:E57,5,0)</f>
        <v>50.7523953496568</v>
      </c>
      <c r="N23">
        <f t="shared" si="5"/>
        <v>0.0257831893629872</v>
      </c>
      <c r="O23">
        <f t="shared" si="6"/>
        <v>0.0320484287397003</v>
      </c>
      <c r="P23">
        <f t="shared" si="7"/>
        <v>58.3443864168286</v>
      </c>
      <c r="Q23">
        <f t="shared" si="8"/>
        <v>49.1258608239242</v>
      </c>
      <c r="R23">
        <f t="shared" si="9"/>
        <v>2.0457251138718</v>
      </c>
      <c r="S23">
        <f>'倾向-优先级表'!M14</f>
        <v>15</v>
      </c>
      <c r="T23">
        <f t="shared" si="10"/>
        <v>2.0457251138718</v>
      </c>
      <c r="U23">
        <f>T23/T28*100</f>
        <v>2.45608111909362</v>
      </c>
      <c r="V23">
        <f t="shared" si="11"/>
        <v>0</v>
      </c>
      <c r="W23">
        <f>V23/V28</f>
        <v>0</v>
      </c>
      <c r="X23">
        <f>数据表!N24</f>
        <v>0.33</v>
      </c>
      <c r="Y23">
        <f>数据表!O24</f>
        <v>0.09</v>
      </c>
      <c r="Z23">
        <f>数据表!Q24</f>
        <v>0.023</v>
      </c>
      <c r="AA23">
        <f>数据表!S24</f>
        <v>8000</v>
      </c>
      <c r="AB23">
        <f t="shared" ref="AB23:AD23" si="39">O61</f>
        <v>4.94926051008886e-5</v>
      </c>
      <c r="AC23">
        <f t="shared" si="39"/>
        <v>0.000178482496411143</v>
      </c>
      <c r="AD23">
        <f t="shared" si="39"/>
        <v>1.12354814805323e-5</v>
      </c>
      <c r="AE23">
        <f t="shared" si="14"/>
        <v>0</v>
      </c>
      <c r="AF23">
        <f t="shared" si="15"/>
        <v>0</v>
      </c>
      <c r="AG23">
        <f t="shared" si="16"/>
        <v>0</v>
      </c>
      <c r="AH23">
        <f t="shared" si="17"/>
        <v>0.964392266620933</v>
      </c>
    </row>
    <row r="24" ht="15.6" spans="1:34">
      <c r="A24" s="15" t="s">
        <v>213</v>
      </c>
      <c r="B24" s="16">
        <v>6</v>
      </c>
      <c r="C24" s="35">
        <v>1757</v>
      </c>
      <c r="D24">
        <f t="shared" si="0"/>
        <v>0.0479181774619839</v>
      </c>
      <c r="E24" s="15" t="s">
        <v>213</v>
      </c>
      <c r="F24" s="16">
        <v>6</v>
      </c>
      <c r="G24">
        <f>数据表!I25</f>
        <v>16</v>
      </c>
      <c r="H24">
        <f t="shared" si="32"/>
        <v>0.0479181774619839</v>
      </c>
      <c r="I24">
        <f t="shared" si="33"/>
        <v>0.0159727258206613</v>
      </c>
      <c r="J24">
        <f t="shared" si="3"/>
        <v>0.175699984027274</v>
      </c>
      <c r="K24">
        <f t="shared" si="4"/>
        <v>0.00479181731057863</v>
      </c>
      <c r="L24">
        <f>VLOOKUP(G24,A32:E57,4,0)</f>
        <v>21.7867471852005</v>
      </c>
      <c r="M24">
        <f>VLOOKUP(G24,A32:E57,5,0)</f>
        <v>12.9825961117969</v>
      </c>
      <c r="N24">
        <f t="shared" si="5"/>
        <v>0.116847239045291</v>
      </c>
      <c r="O24">
        <f t="shared" si="6"/>
        <v>0.142011179042858</v>
      </c>
      <c r="P24">
        <f t="shared" si="7"/>
        <v>19.2410259288321</v>
      </c>
      <c r="Q24">
        <f t="shared" si="8"/>
        <v>11.1389223309234</v>
      </c>
      <c r="R24">
        <f t="shared" si="9"/>
        <v>3.12182258968419</v>
      </c>
      <c r="S24">
        <f>'倾向-优先级表'!M14</f>
        <v>15</v>
      </c>
      <c r="T24">
        <f t="shared" si="10"/>
        <v>0</v>
      </c>
      <c r="U24">
        <f>T24/T28*100</f>
        <v>0</v>
      </c>
      <c r="V24">
        <f t="shared" si="11"/>
        <v>3.12182258968419</v>
      </c>
      <c r="W24">
        <f>V24/V28</f>
        <v>0.26259728614079</v>
      </c>
      <c r="X24">
        <f>数据表!N25</f>
        <v>0</v>
      </c>
      <c r="Y24">
        <f>数据表!O25</f>
        <v>0</v>
      </c>
      <c r="Z24">
        <f>数据表!Q25</f>
        <v>0.012</v>
      </c>
      <c r="AA24">
        <f>数据表!S25</f>
        <v>8000</v>
      </c>
      <c r="AB24">
        <f t="shared" ref="AB24:AD24" si="40">O61</f>
        <v>4.94926051008886e-5</v>
      </c>
      <c r="AC24">
        <f t="shared" si="40"/>
        <v>0.000178482496411143</v>
      </c>
      <c r="AD24">
        <f t="shared" si="40"/>
        <v>1.12354814805323e-5</v>
      </c>
      <c r="AE24">
        <f t="shared" si="14"/>
        <v>-0.103972990268249</v>
      </c>
      <c r="AF24">
        <f t="shared" si="15"/>
        <v>-0.374952153449594</v>
      </c>
      <c r="AG24">
        <f t="shared" si="16"/>
        <v>-0.0204520881284936</v>
      </c>
      <c r="AH24">
        <f t="shared" si="17"/>
        <v>0.835674388820499</v>
      </c>
    </row>
    <row r="25" ht="15.6" spans="1:34">
      <c r="A25" s="7" t="s">
        <v>213</v>
      </c>
      <c r="B25" s="8">
        <v>8</v>
      </c>
      <c r="C25" s="35">
        <v>1244</v>
      </c>
      <c r="D25">
        <f t="shared" si="0"/>
        <v>0.0339272696429755</v>
      </c>
      <c r="E25" s="7" t="s">
        <v>213</v>
      </c>
      <c r="F25" s="8">
        <v>8</v>
      </c>
      <c r="G25">
        <f>数据表!I26</f>
        <v>12</v>
      </c>
      <c r="H25">
        <f t="shared" si="32"/>
        <v>0.0339272696429755</v>
      </c>
      <c r="I25">
        <f t="shared" si="33"/>
        <v>0.0113090898809918</v>
      </c>
      <c r="J25">
        <f t="shared" si="3"/>
        <v>0.12439998869091</v>
      </c>
      <c r="K25">
        <f t="shared" si="4"/>
        <v>0.00339272665586785</v>
      </c>
      <c r="L25">
        <f>VLOOKUP(G25,A32:E57,4,0)</f>
        <v>38.8403064970454</v>
      </c>
      <c r="M25">
        <f>VLOOKUP(G25,A32:E57,5,0)</f>
        <v>27.8603082943249</v>
      </c>
      <c r="N25">
        <f t="shared" si="5"/>
        <v>0.0849488670673844</v>
      </c>
      <c r="O25">
        <f t="shared" si="6"/>
        <v>0.104114969083875</v>
      </c>
      <c r="P25">
        <f t="shared" si="7"/>
        <v>35.5408664635714</v>
      </c>
      <c r="Q25">
        <f t="shared" si="8"/>
        <v>24.959633157594</v>
      </c>
      <c r="R25">
        <f t="shared" si="9"/>
        <v>4.18195514911535</v>
      </c>
      <c r="S25">
        <f>'倾向-优先级表'!M14</f>
        <v>15</v>
      </c>
      <c r="T25">
        <f t="shared" si="10"/>
        <v>4.18195514911535</v>
      </c>
      <c r="U25">
        <f>T25/T28*100</f>
        <v>5.02082171890577</v>
      </c>
      <c r="V25">
        <f t="shared" si="11"/>
        <v>0</v>
      </c>
      <c r="W25">
        <f>V25/V28</f>
        <v>0</v>
      </c>
      <c r="X25">
        <f>数据表!N26</f>
        <v>0.07</v>
      </c>
      <c r="Y25">
        <f>数据表!O26</f>
        <v>0.01</v>
      </c>
      <c r="Z25">
        <f>数据表!Q26</f>
        <v>0.011</v>
      </c>
      <c r="AA25">
        <f>数据表!S26</f>
        <v>8000</v>
      </c>
      <c r="AB25">
        <f t="shared" ref="AB25:AD25" si="41">O61</f>
        <v>4.94926051008886e-5</v>
      </c>
      <c r="AC25">
        <f t="shared" si="41"/>
        <v>0.000178482496411143</v>
      </c>
      <c r="AD25">
        <f t="shared" si="41"/>
        <v>1.12354814805323e-5</v>
      </c>
      <c r="AE25">
        <f t="shared" si="14"/>
        <v>0</v>
      </c>
      <c r="AF25">
        <f t="shared" si="15"/>
        <v>0</v>
      </c>
      <c r="AG25">
        <f t="shared" si="16"/>
        <v>0</v>
      </c>
      <c r="AH25">
        <f t="shared" si="17"/>
        <v>0.881354350526185</v>
      </c>
    </row>
    <row r="26" ht="16.35" spans="1:34">
      <c r="A26" s="17" t="s">
        <v>213</v>
      </c>
      <c r="B26" s="18">
        <v>12</v>
      </c>
      <c r="C26" s="35">
        <v>452</v>
      </c>
      <c r="D26">
        <f t="shared" si="0"/>
        <v>0.0123272716066117</v>
      </c>
      <c r="E26" s="17" t="s">
        <v>213</v>
      </c>
      <c r="F26" s="18">
        <v>12</v>
      </c>
      <c r="G26">
        <f>数据表!I27</f>
        <v>24</v>
      </c>
      <c r="H26">
        <f t="shared" si="32"/>
        <v>0.0123272716066117</v>
      </c>
      <c r="I26">
        <f t="shared" si="33"/>
        <v>0.00410909053553722</v>
      </c>
      <c r="J26">
        <f t="shared" si="3"/>
        <v>0.0451999958909095</v>
      </c>
      <c r="K26">
        <f t="shared" si="4"/>
        <v>0.00123272704859507</v>
      </c>
      <c r="L26">
        <f>VLOOKUP(G26,A32:E57,4,0)</f>
        <v>1.04688190344498</v>
      </c>
      <c r="M26">
        <f>VLOOKUP(G26,A32:E57,5,0)</f>
        <v>0.188185078650585</v>
      </c>
      <c r="N26">
        <f t="shared" si="5"/>
        <v>0.03213478591236</v>
      </c>
      <c r="O26">
        <f t="shared" si="6"/>
        <v>0.0398864211968565</v>
      </c>
      <c r="P26">
        <f t="shared" si="7"/>
        <v>1.01324057760225</v>
      </c>
      <c r="Q26">
        <f t="shared" si="8"/>
        <v>0.180679049340564</v>
      </c>
      <c r="R26">
        <f t="shared" si="9"/>
        <v>0.0389563285520595</v>
      </c>
      <c r="S26">
        <f>'倾向-优先级表'!M14</f>
        <v>15</v>
      </c>
      <c r="T26">
        <f t="shared" si="10"/>
        <v>0</v>
      </c>
      <c r="U26">
        <f>T26/T28*100</f>
        <v>0</v>
      </c>
      <c r="V26">
        <f t="shared" si="11"/>
        <v>0.0389563285520595</v>
      </c>
      <c r="W26">
        <f>V26/V28</f>
        <v>0.0032768762035304</v>
      </c>
      <c r="X26">
        <f>数据表!N27</f>
        <v>0.07</v>
      </c>
      <c r="Y26">
        <f>数据表!O27</f>
        <v>0.02</v>
      </c>
      <c r="Z26">
        <f>数据表!Q27</f>
        <v>0.009</v>
      </c>
      <c r="AA26">
        <f>数据表!S27</f>
        <v>14000</v>
      </c>
      <c r="AB26">
        <f t="shared" ref="AB26:AD26" si="42">O61</f>
        <v>4.94926051008886e-5</v>
      </c>
      <c r="AC26">
        <f t="shared" si="42"/>
        <v>0.000178482496411143</v>
      </c>
      <c r="AD26">
        <f t="shared" si="42"/>
        <v>1.12354814805323e-5</v>
      </c>
      <c r="AE26">
        <f t="shared" si="14"/>
        <v>-0.00204115462443448</v>
      </c>
      <c r="AF26">
        <f t="shared" si="15"/>
        <v>-0.00812257310923864</v>
      </c>
      <c r="AG26">
        <f t="shared" si="16"/>
        <v>-0.000485950060750906</v>
      </c>
      <c r="AH26">
        <f t="shared" si="17"/>
        <v>0.95557047568038</v>
      </c>
    </row>
    <row r="27" ht="16.35" spans="1:34">
      <c r="A27" s="28" t="s">
        <v>215</v>
      </c>
      <c r="B27" s="29">
        <v>3</v>
      </c>
      <c r="C27" s="41">
        <v>769</v>
      </c>
      <c r="D27">
        <f t="shared" si="0"/>
        <v>0.0209727253661159</v>
      </c>
      <c r="E27" s="28" t="s">
        <v>215</v>
      </c>
      <c r="F27" s="29">
        <v>3</v>
      </c>
      <c r="G27">
        <f>数据表!I28</f>
        <v>22</v>
      </c>
      <c r="H27">
        <f t="shared" si="32"/>
        <v>0.0209727253661159</v>
      </c>
      <c r="I27">
        <f t="shared" si="33"/>
        <v>0.00699090845537196</v>
      </c>
      <c r="J27">
        <f t="shared" si="3"/>
        <v>0.0768999930090915</v>
      </c>
      <c r="K27">
        <f t="shared" si="4"/>
        <v>0.00209727234595047</v>
      </c>
      <c r="L27">
        <f>VLOOKUP(G27,A32:E57,4,0)</f>
        <v>4.48768005349635</v>
      </c>
      <c r="M27">
        <f>VLOOKUP(G27,A32:E57,5,0)</f>
        <v>1.49378779020978</v>
      </c>
      <c r="N27">
        <f t="shared" si="5"/>
        <v>0.0538013783097837</v>
      </c>
      <c r="O27">
        <f t="shared" si="6"/>
        <v>0.0664453346910167</v>
      </c>
      <c r="P27">
        <f t="shared" si="7"/>
        <v>4.24623668120492</v>
      </c>
      <c r="Q27">
        <f t="shared" si="8"/>
        <v>1.39453256053194</v>
      </c>
      <c r="R27">
        <f t="shared" si="9"/>
        <v>0.286663566200743</v>
      </c>
      <c r="S27">
        <f>'倾向-优先级表'!M14</f>
        <v>15</v>
      </c>
      <c r="T27">
        <f t="shared" si="10"/>
        <v>0</v>
      </c>
      <c r="U27">
        <f>T27/T28*100</f>
        <v>0</v>
      </c>
      <c r="V27">
        <f t="shared" si="11"/>
        <v>0.286663566200743</v>
      </c>
      <c r="W27">
        <f>V27/V28</f>
        <v>0.0241131814371844</v>
      </c>
      <c r="X27">
        <f>数据表!N28</f>
        <v>0</v>
      </c>
      <c r="Y27">
        <f>数据表!O28</f>
        <v>0</v>
      </c>
      <c r="Z27">
        <f>数据表!Q28</f>
        <v>0.011</v>
      </c>
      <c r="AA27">
        <f>数据表!S28</f>
        <v>8000</v>
      </c>
      <c r="AB27">
        <f t="shared" ref="AB27:AD27" si="43">O61</f>
        <v>4.94926051008886e-5</v>
      </c>
      <c r="AC27">
        <f t="shared" si="43"/>
        <v>0.000178482496411143</v>
      </c>
      <c r="AD27">
        <f t="shared" si="43"/>
        <v>1.12354814805323e-5</v>
      </c>
      <c r="AE27">
        <f t="shared" si="14"/>
        <v>-0.00954739333277316</v>
      </c>
      <c r="AF27">
        <f t="shared" si="15"/>
        <v>-0.034430246554588</v>
      </c>
      <c r="AG27">
        <f t="shared" si="16"/>
        <v>-0.00190214063198458</v>
      </c>
      <c r="AH27">
        <f t="shared" si="17"/>
        <v>0.92531759898509</v>
      </c>
    </row>
    <row r="28" spans="1:33">
      <c r="A28" t="s">
        <v>275</v>
      </c>
      <c r="B28">
        <f>白天模拟!B28</f>
        <v>0</v>
      </c>
      <c r="C28">
        <f>SUM(C2:C27)</f>
        <v>35386</v>
      </c>
      <c r="D28">
        <f>B28/C29</f>
        <v>0</v>
      </c>
      <c r="E28">
        <f>B28/C30</f>
        <v>0</v>
      </c>
      <c r="R28">
        <f t="shared" ref="R28:V28" si="44">SUM(R2:R27)</f>
        <v>95.1804969716055</v>
      </c>
      <c r="T28">
        <f t="shared" si="44"/>
        <v>83.2922454379988</v>
      </c>
      <c r="V28">
        <f t="shared" si="44"/>
        <v>11.8882515336067</v>
      </c>
      <c r="AC28" s="102" t="s">
        <v>319</v>
      </c>
      <c r="AD28" s="102"/>
      <c r="AE28">
        <f t="shared" ref="AE28:AG28" si="45">SUM(AE2:AE27)</f>
        <v>0.0862803834449471</v>
      </c>
      <c r="AF28">
        <f t="shared" si="45"/>
        <v>-1.38546873079498</v>
      </c>
      <c r="AG28">
        <f t="shared" si="45"/>
        <v>-0.0747470248853817</v>
      </c>
    </row>
    <row r="29" spans="1:33">
      <c r="A29" t="s">
        <v>277</v>
      </c>
      <c r="B29">
        <f>白天模拟!B29</f>
        <v>2</v>
      </c>
      <c r="C29">
        <f>B28+B29</f>
        <v>2</v>
      </c>
      <c r="D29">
        <f>B29/C29</f>
        <v>1</v>
      </c>
      <c r="E29">
        <f>B29/C30</f>
        <v>0.153846153846154</v>
      </c>
      <c r="T29">
        <f>(R28-T28)/100</f>
        <v>0.118882515336067</v>
      </c>
      <c r="V29">
        <f>T29/R28*98.3</f>
        <v>0.122778842613331</v>
      </c>
      <c r="AC29" t="s">
        <v>278</v>
      </c>
      <c r="AE29">
        <f>AE28*白天模拟!L75/100</f>
        <v>0.00513880697360098</v>
      </c>
      <c r="AF29">
        <f>AF28*白天模拟!L75/100</f>
        <v>-0.0825176719347589</v>
      </c>
      <c r="AG29">
        <f>AG28*白天模拟!L75/100</f>
        <v>-0.00445188717759947</v>
      </c>
    </row>
    <row r="30" ht="15.15" spans="1:4">
      <c r="A30" t="s">
        <v>279</v>
      </c>
      <c r="B30">
        <f>IF('倾向-优先级表'!K8=11,11,11-'倾向-优先级表'!K8)</f>
        <v>11</v>
      </c>
      <c r="C30">
        <f>SUM(B28:B30)</f>
        <v>13</v>
      </c>
      <c r="D30" t="s">
        <v>280</v>
      </c>
    </row>
    <row r="31" ht="16.35" spans="1:25">
      <c r="A31" s="34" t="s">
        <v>281</v>
      </c>
      <c r="B31" s="42" t="s">
        <v>282</v>
      </c>
      <c r="C31" s="43" t="s">
        <v>283</v>
      </c>
      <c r="D31" t="s">
        <v>282</v>
      </c>
      <c r="E31" t="s">
        <v>283</v>
      </c>
      <c r="G31" s="1" t="s">
        <v>34</v>
      </c>
      <c r="H31" s="2"/>
      <c r="I31" s="50" t="s">
        <v>284</v>
      </c>
      <c r="J31" s="50" t="s">
        <v>285</v>
      </c>
      <c r="K31" s="51" t="s">
        <v>286</v>
      </c>
      <c r="L31" s="52" t="s">
        <v>266</v>
      </c>
      <c r="M31" s="43" t="s">
        <v>287</v>
      </c>
      <c r="N31" s="1" t="s">
        <v>168</v>
      </c>
      <c r="O31" s="53"/>
      <c r="P31" s="2"/>
      <c r="Q31" s="86" t="s">
        <v>288</v>
      </c>
      <c r="R31" s="87"/>
      <c r="S31" s="87"/>
      <c r="U31" s="88"/>
      <c r="V31" s="34" t="s">
        <v>289</v>
      </c>
      <c r="W31" s="89" t="s">
        <v>291</v>
      </c>
      <c r="X31" s="90"/>
      <c r="Y31" s="50" t="s">
        <v>292</v>
      </c>
    </row>
    <row r="32" ht="16.35" spans="1:27">
      <c r="A32" s="35">
        <v>1</v>
      </c>
      <c r="B32">
        <v>0</v>
      </c>
      <c r="C32" s="44">
        <v>0</v>
      </c>
      <c r="D32">
        <f t="shared" ref="D32:D57" si="46">(1-B32)^2*(1-C32)^2*100</f>
        <v>100</v>
      </c>
      <c r="E32">
        <f t="shared" ref="E32:E57" si="47">(1-B32)^3*(1-C32)*100</f>
        <v>100</v>
      </c>
      <c r="G32" s="45" t="s">
        <v>171</v>
      </c>
      <c r="H32" s="4" t="s">
        <v>172</v>
      </c>
      <c r="I32" s="54"/>
      <c r="J32" s="54"/>
      <c r="K32" s="55"/>
      <c r="L32" s="56"/>
      <c r="M32" s="47"/>
      <c r="N32" s="57" t="s">
        <v>23</v>
      </c>
      <c r="O32" s="58" t="s">
        <v>28</v>
      </c>
      <c r="P32" s="59" t="s">
        <v>175</v>
      </c>
      <c r="Q32" s="91" t="s">
        <v>23</v>
      </c>
      <c r="R32" s="92" t="s">
        <v>28</v>
      </c>
      <c r="S32" s="93" t="s">
        <v>175</v>
      </c>
      <c r="T32" t="s">
        <v>320</v>
      </c>
      <c r="U32" t="s">
        <v>294</v>
      </c>
      <c r="V32" s="41"/>
      <c r="W32" s="94" t="s">
        <v>64</v>
      </c>
      <c r="X32" s="95" t="s">
        <v>63</v>
      </c>
      <c r="Y32" s="31" t="s">
        <v>64</v>
      </c>
      <c r="Z32" t="s">
        <v>63</v>
      </c>
      <c r="AA32" t="s">
        <v>65</v>
      </c>
    </row>
    <row r="33" ht="15.6" spans="1:30">
      <c r="A33" s="35">
        <v>2</v>
      </c>
      <c r="B33">
        <f>VLOOKUP(1,G2:I27,2,0)</f>
        <v>0.0119454534595042</v>
      </c>
      <c r="C33" s="44">
        <f>VLOOKUP(1,G2:I27,3,0)</f>
        <v>0.00398181781983474</v>
      </c>
      <c r="D33">
        <f t="shared" si="46"/>
        <v>96.8492751763828</v>
      </c>
      <c r="E33">
        <f t="shared" si="47"/>
        <v>96.0749194936557</v>
      </c>
      <c r="G33" s="5" t="s">
        <v>183</v>
      </c>
      <c r="H33" s="6">
        <v>1</v>
      </c>
      <c r="I33" s="35">
        <f>U2</f>
        <v>0</v>
      </c>
      <c r="J33" s="35">
        <f>数据表!T3</f>
        <v>5466.34285714286</v>
      </c>
      <c r="K33" s="44">
        <f t="shared" ref="K33:K58" si="48">J33*I33</f>
        <v>0</v>
      </c>
      <c r="L33">
        <f>数据表!S3</f>
        <v>11900</v>
      </c>
      <c r="M33" s="44">
        <f t="shared" ref="M33:M58" si="49">I33*L33</f>
        <v>0</v>
      </c>
      <c r="N33" s="60">
        <f>白天模拟!N33</f>
        <v>2.8</v>
      </c>
      <c r="O33" s="61">
        <v>0.71</v>
      </c>
      <c r="P33" s="62">
        <v>0</v>
      </c>
      <c r="Q33">
        <f t="shared" ref="Q33:Q58" si="50">N33*I33*H33</f>
        <v>0</v>
      </c>
      <c r="R33" s="96">
        <f t="shared" ref="R33:R58" si="51">O33*I33*H33</f>
        <v>0</v>
      </c>
      <c r="S33">
        <f t="shared" ref="S33:S58" si="52">P33*I33*H33</f>
        <v>0</v>
      </c>
      <c r="T33">
        <f>I33*AD33</f>
        <v>0</v>
      </c>
      <c r="U33">
        <f>AA33*I33</f>
        <v>0</v>
      </c>
      <c r="V33" s="35"/>
      <c r="W33" s="97">
        <f>数据表!L3</f>
        <v>0</v>
      </c>
      <c r="X33" s="98">
        <f>数据表!M3</f>
        <v>3</v>
      </c>
      <c r="Y33" s="35">
        <f t="shared" ref="Y33:Y58" si="53">W33*I33</f>
        <v>0</v>
      </c>
      <c r="Z33">
        <f>X33*I33</f>
        <v>0</v>
      </c>
      <c r="AA33">
        <f>数据表!P3*H33</f>
        <v>40</v>
      </c>
      <c r="AD33">
        <v>0</v>
      </c>
    </row>
    <row r="34" ht="15.6" spans="1:30">
      <c r="A34" s="35">
        <v>3</v>
      </c>
      <c r="B34">
        <f>VLOOKUP(2,G2:I27,2,0)+B33</f>
        <v>0.0154636349578513</v>
      </c>
      <c r="C34" s="44">
        <f>VLOOKUP(2,G2:I27,3,0)+C33</f>
        <v>0.00452307651188815</v>
      </c>
      <c r="D34">
        <f t="shared" si="46"/>
        <v>96.0563141126802</v>
      </c>
      <c r="E34">
        <f t="shared" si="47"/>
        <v>95.0006294515319</v>
      </c>
      <c r="G34" s="7" t="s">
        <v>183</v>
      </c>
      <c r="H34" s="8">
        <v>2</v>
      </c>
      <c r="I34" s="35">
        <f t="shared" ref="I34:I58" si="54">U3</f>
        <v>0</v>
      </c>
      <c r="J34" s="35">
        <f>数据表!T4</f>
        <v>7965.66857142857</v>
      </c>
      <c r="K34" s="44">
        <f t="shared" si="48"/>
        <v>0</v>
      </c>
      <c r="L34">
        <f>数据表!S4</f>
        <v>15800</v>
      </c>
      <c r="M34" s="44">
        <f t="shared" si="49"/>
        <v>0</v>
      </c>
      <c r="N34" s="63">
        <v>1.96</v>
      </c>
      <c r="O34" s="64">
        <v>0.54</v>
      </c>
      <c r="P34" s="65">
        <v>0</v>
      </c>
      <c r="Q34">
        <f t="shared" si="50"/>
        <v>0</v>
      </c>
      <c r="R34" s="96">
        <f t="shared" si="51"/>
        <v>0</v>
      </c>
      <c r="S34">
        <f t="shared" si="52"/>
        <v>0</v>
      </c>
      <c r="T34">
        <f t="shared" ref="T34:T58" si="55">I34*AD34</f>
        <v>0</v>
      </c>
      <c r="U34">
        <f t="shared" ref="U34:U58" si="56">AA34*I34</f>
        <v>0</v>
      </c>
      <c r="V34" s="35">
        <f t="shared" ref="V34:V58" si="57">I34*H34</f>
        <v>0</v>
      </c>
      <c r="W34" s="97">
        <f>数据表!L4</f>
        <v>0</v>
      </c>
      <c r="X34" s="98">
        <f>数据表!M4</f>
        <v>6</v>
      </c>
      <c r="Y34" s="35">
        <f t="shared" si="53"/>
        <v>0</v>
      </c>
      <c r="Z34">
        <f t="shared" ref="Z34:Z58" si="58">X34*I34</f>
        <v>0</v>
      </c>
      <c r="AA34">
        <f>数据表!P4*H34</f>
        <v>60.32</v>
      </c>
      <c r="AD34">
        <v>0</v>
      </c>
    </row>
    <row r="35" ht="15.6" spans="1:30">
      <c r="A35" s="35">
        <v>4</v>
      </c>
      <c r="B35">
        <f>VLOOKUP(3,G2:I27,2,0)+B34</f>
        <v>0.0349909059099176</v>
      </c>
      <c r="C35" s="44">
        <f>VLOOKUP(3,G2:I27,3,0)+C34</f>
        <v>0.00752727204297527</v>
      </c>
      <c r="D35">
        <f t="shared" si="46"/>
        <v>91.7275883667094</v>
      </c>
      <c r="E35">
        <f t="shared" si="47"/>
        <v>89.1893091460939</v>
      </c>
      <c r="G35" s="9" t="s">
        <v>183</v>
      </c>
      <c r="H35" s="10">
        <v>4</v>
      </c>
      <c r="I35" s="35">
        <f t="shared" si="54"/>
        <v>0</v>
      </c>
      <c r="J35" s="35">
        <f>数据表!T5</f>
        <v>10403.2457142857</v>
      </c>
      <c r="K35" s="44">
        <f t="shared" si="48"/>
        <v>0</v>
      </c>
      <c r="L35">
        <f>数据表!S5</f>
        <v>21000</v>
      </c>
      <c r="M35" s="44">
        <f t="shared" si="49"/>
        <v>0</v>
      </c>
      <c r="N35" s="66">
        <v>1.395</v>
      </c>
      <c r="O35" s="67">
        <v>0.31</v>
      </c>
      <c r="P35" s="65">
        <v>0</v>
      </c>
      <c r="Q35">
        <f t="shared" si="50"/>
        <v>0</v>
      </c>
      <c r="R35" s="96">
        <f t="shared" si="51"/>
        <v>0</v>
      </c>
      <c r="S35">
        <f t="shared" si="52"/>
        <v>0</v>
      </c>
      <c r="T35">
        <f t="shared" si="55"/>
        <v>0</v>
      </c>
      <c r="U35">
        <f t="shared" si="56"/>
        <v>0</v>
      </c>
      <c r="V35" s="35">
        <f t="shared" si="57"/>
        <v>0</v>
      </c>
      <c r="W35" s="97">
        <f>数据表!L5</f>
        <v>0</v>
      </c>
      <c r="X35" s="98">
        <f>数据表!M5</f>
        <v>10</v>
      </c>
      <c r="Y35" s="35">
        <f t="shared" si="53"/>
        <v>0</v>
      </c>
      <c r="Z35">
        <f t="shared" si="58"/>
        <v>0</v>
      </c>
      <c r="AA35">
        <f>数据表!P5*H35</f>
        <v>83.08</v>
      </c>
      <c r="AD35">
        <v>0</v>
      </c>
    </row>
    <row r="36" ht="16.35" spans="1:30">
      <c r="A36" s="35">
        <v>5</v>
      </c>
      <c r="B36">
        <f>VLOOKUP(4,G2:I27,2,0)+B35</f>
        <v>0.0349909059099176</v>
      </c>
      <c r="C36" s="44">
        <f>VLOOKUP(4,G2:I27,3,0)+C35</f>
        <v>0.00752727204297527</v>
      </c>
      <c r="D36">
        <f t="shared" si="46"/>
        <v>91.7275883667094</v>
      </c>
      <c r="E36">
        <f t="shared" si="47"/>
        <v>89.1893091460939</v>
      </c>
      <c r="G36" s="11" t="s">
        <v>187</v>
      </c>
      <c r="H36" s="12">
        <v>0.5</v>
      </c>
      <c r="I36" s="35">
        <f t="shared" si="54"/>
        <v>0</v>
      </c>
      <c r="J36" s="35">
        <f>数据表!T6</f>
        <v>9101.59714285714</v>
      </c>
      <c r="K36" s="44">
        <f t="shared" si="48"/>
        <v>0</v>
      </c>
      <c r="L36">
        <f>数据表!S6</f>
        <v>14500</v>
      </c>
      <c r="M36" s="44">
        <f t="shared" si="49"/>
        <v>0</v>
      </c>
      <c r="N36" s="60">
        <v>9.78</v>
      </c>
      <c r="O36" s="61">
        <v>1.97</v>
      </c>
      <c r="P36" s="68">
        <v>0</v>
      </c>
      <c r="Q36">
        <f t="shared" si="50"/>
        <v>0</v>
      </c>
      <c r="R36" s="96">
        <f t="shared" si="51"/>
        <v>0</v>
      </c>
      <c r="S36">
        <f t="shared" si="52"/>
        <v>0</v>
      </c>
      <c r="T36">
        <f t="shared" si="55"/>
        <v>0</v>
      </c>
      <c r="U36">
        <f t="shared" si="56"/>
        <v>0</v>
      </c>
      <c r="V36" s="35">
        <f t="shared" si="57"/>
        <v>0</v>
      </c>
      <c r="W36" s="97">
        <f>数据表!L6</f>
        <v>8000</v>
      </c>
      <c r="X36" s="98">
        <f>数据表!M6</f>
        <v>5</v>
      </c>
      <c r="Y36" s="35">
        <f t="shared" si="53"/>
        <v>0</v>
      </c>
      <c r="Z36">
        <f t="shared" si="58"/>
        <v>0</v>
      </c>
      <c r="AA36">
        <f>数据表!P6*H36</f>
        <v>97.245</v>
      </c>
      <c r="AD36">
        <v>0</v>
      </c>
    </row>
    <row r="37" ht="15.6" spans="1:30">
      <c r="A37" s="35">
        <v>6</v>
      </c>
      <c r="B37">
        <f>VLOOKUP(5,G2:I27,2,0)+B36</f>
        <v>0.117790898382646</v>
      </c>
      <c r="C37" s="44">
        <f>VLOOKUP(5,G2:I27,3,0)+C36</f>
        <v>0.020265732423395</v>
      </c>
      <c r="D37">
        <f t="shared" si="46"/>
        <v>74.7067192525201</v>
      </c>
      <c r="E37">
        <f t="shared" si="47"/>
        <v>67.2702281196799</v>
      </c>
      <c r="G37" s="13" t="s">
        <v>189</v>
      </c>
      <c r="H37" s="14">
        <v>1</v>
      </c>
      <c r="I37" s="35">
        <f t="shared" si="54"/>
        <v>0</v>
      </c>
      <c r="J37" s="35">
        <f>数据表!T7</f>
        <v>2366.74285714286</v>
      </c>
      <c r="K37" s="44">
        <f t="shared" si="48"/>
        <v>0</v>
      </c>
      <c r="L37">
        <f>数据表!S7</f>
        <v>8000</v>
      </c>
      <c r="M37" s="44">
        <f t="shared" si="49"/>
        <v>0</v>
      </c>
      <c r="N37" s="69">
        <v>0</v>
      </c>
      <c r="O37" s="70">
        <v>0</v>
      </c>
      <c r="P37" s="71">
        <v>0.052</v>
      </c>
      <c r="Q37">
        <f t="shared" si="50"/>
        <v>0</v>
      </c>
      <c r="R37" s="96">
        <f t="shared" si="51"/>
        <v>0</v>
      </c>
      <c r="S37">
        <f t="shared" si="52"/>
        <v>0</v>
      </c>
      <c r="T37">
        <f t="shared" si="55"/>
        <v>0</v>
      </c>
      <c r="U37">
        <f t="shared" si="56"/>
        <v>0</v>
      </c>
      <c r="V37" s="35">
        <f t="shared" si="57"/>
        <v>0</v>
      </c>
      <c r="W37" s="97">
        <f>数据表!L7</f>
        <v>0</v>
      </c>
      <c r="X37" s="98">
        <f>数据表!M7</f>
        <v>0</v>
      </c>
      <c r="Y37" s="35">
        <f t="shared" si="53"/>
        <v>0</v>
      </c>
      <c r="Z37">
        <f t="shared" si="58"/>
        <v>0</v>
      </c>
      <c r="AA37">
        <f>数据表!P7*H37</f>
        <v>0</v>
      </c>
      <c r="AD37">
        <v>0.44</v>
      </c>
    </row>
    <row r="38" ht="15.6" spans="1:30">
      <c r="A38" s="35">
        <v>7</v>
      </c>
      <c r="B38">
        <f>VLOOKUP(6,G2:I27,2,0)+B37</f>
        <v>0.141272714429753</v>
      </c>
      <c r="C38" s="44">
        <f>VLOOKUP(6,G2:I27,3,0)+C37</f>
        <v>0.0280930044390975</v>
      </c>
      <c r="D38">
        <f t="shared" si="46"/>
        <v>69.6562261292769</v>
      </c>
      <c r="E38">
        <f t="shared" si="47"/>
        <v>61.5446768675028</v>
      </c>
      <c r="G38" s="15" t="s">
        <v>189</v>
      </c>
      <c r="H38" s="16">
        <v>2</v>
      </c>
      <c r="I38" s="35">
        <f t="shared" si="54"/>
        <v>5.47024209964051</v>
      </c>
      <c r="J38" s="35">
        <f>数据表!T8</f>
        <v>4278.34285714286</v>
      </c>
      <c r="K38" s="44">
        <f t="shared" si="48"/>
        <v>23403.5712138391</v>
      </c>
      <c r="L38">
        <f>数据表!S8</f>
        <v>8000</v>
      </c>
      <c r="M38" s="44">
        <f t="shared" si="49"/>
        <v>43761.9367971241</v>
      </c>
      <c r="N38" s="66">
        <v>0</v>
      </c>
      <c r="O38" s="67">
        <v>0</v>
      </c>
      <c r="P38" s="72">
        <v>0.047</v>
      </c>
      <c r="Q38">
        <f t="shared" si="50"/>
        <v>0</v>
      </c>
      <c r="R38" s="96">
        <f t="shared" si="51"/>
        <v>0</v>
      </c>
      <c r="S38">
        <f t="shared" si="52"/>
        <v>0.514202757366208</v>
      </c>
      <c r="T38">
        <f t="shared" si="55"/>
        <v>4.32149125871601</v>
      </c>
      <c r="U38">
        <f t="shared" si="56"/>
        <v>0</v>
      </c>
      <c r="V38" s="35">
        <f t="shared" si="57"/>
        <v>10.940484199281</v>
      </c>
      <c r="W38" s="97">
        <f>数据表!L8</f>
        <v>0</v>
      </c>
      <c r="X38" s="98">
        <f>数据表!M8</f>
        <v>0</v>
      </c>
      <c r="Y38" s="35">
        <f t="shared" si="53"/>
        <v>0</v>
      </c>
      <c r="Z38">
        <f t="shared" si="58"/>
        <v>0</v>
      </c>
      <c r="AA38">
        <f>数据表!P8*H38</f>
        <v>0</v>
      </c>
      <c r="AD38">
        <v>0.79</v>
      </c>
    </row>
    <row r="39" ht="15.6" spans="1:30">
      <c r="A39" s="35">
        <v>8</v>
      </c>
      <c r="B39">
        <f>VLOOKUP(7,G2:I27,2,0)+B38</f>
        <v>0.190172709984299</v>
      </c>
      <c r="C39" s="44">
        <f>VLOOKUP(7,G2:I27,3,0)+C38</f>
        <v>0.0443930029572795</v>
      </c>
      <c r="D39">
        <f t="shared" si="46"/>
        <v>59.8885030311465</v>
      </c>
      <c r="E39">
        <f t="shared" si="47"/>
        <v>50.7523953496568</v>
      </c>
      <c r="G39" s="7" t="s">
        <v>189</v>
      </c>
      <c r="H39" s="8">
        <v>4</v>
      </c>
      <c r="I39" s="35">
        <f t="shared" si="54"/>
        <v>7.11042346097962</v>
      </c>
      <c r="J39" s="35">
        <f>数据表!T9</f>
        <v>9284.91428571429</v>
      </c>
      <c r="K39" s="44">
        <f t="shared" si="48"/>
        <v>66019.6723703277</v>
      </c>
      <c r="L39">
        <f>数据表!S9</f>
        <v>8000</v>
      </c>
      <c r="M39" s="44">
        <f t="shared" si="49"/>
        <v>56883.3876878369</v>
      </c>
      <c r="N39" s="60">
        <v>0</v>
      </c>
      <c r="O39" s="61">
        <v>0</v>
      </c>
      <c r="P39" s="72">
        <v>0.051</v>
      </c>
      <c r="Q39">
        <f t="shared" si="50"/>
        <v>0</v>
      </c>
      <c r="R39" s="96">
        <f t="shared" si="51"/>
        <v>0</v>
      </c>
      <c r="S39">
        <f t="shared" si="52"/>
        <v>1.45052638603984</v>
      </c>
      <c r="T39">
        <f t="shared" si="55"/>
        <v>9.95459284537147</v>
      </c>
      <c r="U39">
        <f t="shared" si="56"/>
        <v>0</v>
      </c>
      <c r="V39" s="35">
        <f t="shared" si="57"/>
        <v>28.4416938439185</v>
      </c>
      <c r="W39" s="97">
        <f>数据表!L9</f>
        <v>0</v>
      </c>
      <c r="X39" s="98">
        <f>数据表!M9</f>
        <v>0</v>
      </c>
      <c r="Y39" s="35">
        <f t="shared" si="53"/>
        <v>0</v>
      </c>
      <c r="Z39">
        <f t="shared" si="58"/>
        <v>0</v>
      </c>
      <c r="AA39">
        <f>数据表!P9*H39</f>
        <v>0</v>
      </c>
      <c r="AD39">
        <v>1.4</v>
      </c>
    </row>
    <row r="40" ht="16.35" spans="1:30">
      <c r="A40" s="35">
        <v>9</v>
      </c>
      <c r="B40">
        <f>VLOOKUP(8,G2:I27,2,0)+B39</f>
        <v>0.190172709984299</v>
      </c>
      <c r="C40" s="44">
        <f>VLOOKUP(8,G2:I27,3,0)+C39</f>
        <v>0.0443930029572795</v>
      </c>
      <c r="D40">
        <f t="shared" si="46"/>
        <v>59.8885030311465</v>
      </c>
      <c r="E40">
        <f t="shared" si="47"/>
        <v>50.7523953496568</v>
      </c>
      <c r="G40" s="17" t="s">
        <v>189</v>
      </c>
      <c r="H40" s="18">
        <v>0.5</v>
      </c>
      <c r="I40" s="35">
        <f t="shared" si="54"/>
        <v>5.08753180136449</v>
      </c>
      <c r="J40" s="35">
        <f>数据表!T10</f>
        <v>18569.8285714286</v>
      </c>
      <c r="K40" s="44">
        <f t="shared" si="48"/>
        <v>94474.5934030298</v>
      </c>
      <c r="L40">
        <f>数据表!S10</f>
        <v>8000</v>
      </c>
      <c r="M40" s="44">
        <f t="shared" si="49"/>
        <v>40700.2544109159</v>
      </c>
      <c r="N40" s="73">
        <v>0</v>
      </c>
      <c r="O40" s="74">
        <v>0</v>
      </c>
      <c r="P40" s="75">
        <v>0.816</v>
      </c>
      <c r="Q40">
        <f t="shared" si="50"/>
        <v>0</v>
      </c>
      <c r="R40" s="96">
        <f t="shared" si="51"/>
        <v>0</v>
      </c>
      <c r="S40">
        <f t="shared" si="52"/>
        <v>2.07571297495671</v>
      </c>
      <c r="T40">
        <f t="shared" si="55"/>
        <v>17.2976081246393</v>
      </c>
      <c r="U40">
        <f t="shared" si="56"/>
        <v>0</v>
      </c>
      <c r="V40" s="35">
        <f t="shared" si="57"/>
        <v>2.54376590068225</v>
      </c>
      <c r="W40" s="97">
        <f>数据表!L10</f>
        <v>5000</v>
      </c>
      <c r="X40" s="98">
        <f>数据表!M10</f>
        <v>0</v>
      </c>
      <c r="Y40" s="35">
        <f t="shared" si="53"/>
        <v>25437.6590068225</v>
      </c>
      <c r="Z40">
        <f t="shared" si="58"/>
        <v>0</v>
      </c>
      <c r="AA40">
        <f>数据表!P10*H40</f>
        <v>0</v>
      </c>
      <c r="AD40">
        <v>3.4</v>
      </c>
    </row>
    <row r="41" ht="15.6" spans="1:30">
      <c r="A41" s="35">
        <v>10</v>
      </c>
      <c r="B41">
        <f>VLOOKUP(9,G2:I27,2,0)+B40</f>
        <v>0.200018163634712</v>
      </c>
      <c r="C41" s="44">
        <f>VLOOKUP(9,G2:I27,3,0)+C40</f>
        <v>0.0476748208407506</v>
      </c>
      <c r="D41">
        <f t="shared" si="46"/>
        <v>58.0404521453947</v>
      </c>
      <c r="E41">
        <f t="shared" si="47"/>
        <v>48.7557280925154</v>
      </c>
      <c r="G41" s="19" t="s">
        <v>194</v>
      </c>
      <c r="H41" s="6">
        <v>2.5</v>
      </c>
      <c r="I41" s="35">
        <f t="shared" si="54"/>
        <v>0</v>
      </c>
      <c r="J41" s="35">
        <f>数据表!T11</f>
        <v>3919.28571428571</v>
      </c>
      <c r="K41" s="44">
        <f t="shared" si="48"/>
        <v>0</v>
      </c>
      <c r="L41">
        <f>数据表!S11</f>
        <v>8000</v>
      </c>
      <c r="M41" s="44">
        <f t="shared" si="49"/>
        <v>0</v>
      </c>
      <c r="N41" s="76">
        <v>0.92</v>
      </c>
      <c r="O41" s="77">
        <v>0</v>
      </c>
      <c r="P41" s="62">
        <v>0.014</v>
      </c>
      <c r="Q41">
        <f t="shared" si="50"/>
        <v>0</v>
      </c>
      <c r="R41" s="96">
        <f t="shared" si="51"/>
        <v>0</v>
      </c>
      <c r="S41">
        <f t="shared" si="52"/>
        <v>0</v>
      </c>
      <c r="T41">
        <f t="shared" si="55"/>
        <v>0</v>
      </c>
      <c r="U41">
        <f t="shared" si="56"/>
        <v>0</v>
      </c>
      <c r="V41" s="35">
        <f t="shared" si="57"/>
        <v>0</v>
      </c>
      <c r="W41" s="97">
        <f>数据表!L11</f>
        <v>3000</v>
      </c>
      <c r="X41" s="98">
        <f>数据表!M11</f>
        <v>0</v>
      </c>
      <c r="Y41" s="35">
        <f t="shared" si="53"/>
        <v>0</v>
      </c>
      <c r="Z41">
        <f t="shared" si="58"/>
        <v>0</v>
      </c>
      <c r="AA41">
        <f>数据表!P11*H41</f>
        <v>0</v>
      </c>
      <c r="AD41">
        <v>0.37</v>
      </c>
    </row>
    <row r="42" ht="15.6" spans="1:30">
      <c r="A42" s="35">
        <v>11</v>
      </c>
      <c r="B42">
        <f>VLOOKUP(10,G2:I27,2,0)+B41</f>
        <v>0.331390878964465</v>
      </c>
      <c r="C42" s="44">
        <f>VLOOKUP(10,G2:I27,3,0)+C41</f>
        <v>0.0678860078145588</v>
      </c>
      <c r="D42">
        <f t="shared" si="46"/>
        <v>38.8403064970454</v>
      </c>
      <c r="E42">
        <f t="shared" si="47"/>
        <v>27.8603082943249</v>
      </c>
      <c r="G42" s="7" t="s">
        <v>194</v>
      </c>
      <c r="H42" s="8">
        <v>5</v>
      </c>
      <c r="I42" s="35">
        <f t="shared" si="54"/>
        <v>0</v>
      </c>
      <c r="J42" s="35">
        <f>数据表!T12</f>
        <v>6068.57142857143</v>
      </c>
      <c r="K42" s="44">
        <f t="shared" si="48"/>
        <v>0</v>
      </c>
      <c r="L42">
        <f>数据表!S12</f>
        <v>8000</v>
      </c>
      <c r="M42" s="44">
        <f t="shared" si="49"/>
        <v>0</v>
      </c>
      <c r="N42" s="60">
        <v>0.75</v>
      </c>
      <c r="O42" s="61">
        <v>0</v>
      </c>
      <c r="P42" s="65">
        <v>0.01</v>
      </c>
      <c r="Q42">
        <f t="shared" si="50"/>
        <v>0</v>
      </c>
      <c r="R42" s="96">
        <f t="shared" si="51"/>
        <v>0</v>
      </c>
      <c r="S42">
        <f t="shared" si="52"/>
        <v>0</v>
      </c>
      <c r="T42">
        <f t="shared" si="55"/>
        <v>0</v>
      </c>
      <c r="U42">
        <f t="shared" si="56"/>
        <v>0</v>
      </c>
      <c r="V42" s="35">
        <f t="shared" si="57"/>
        <v>0</v>
      </c>
      <c r="W42" s="97">
        <f>数据表!L12</f>
        <v>5000</v>
      </c>
      <c r="X42" s="98">
        <f>数据表!M12</f>
        <v>0</v>
      </c>
      <c r="Y42" s="35">
        <f t="shared" si="53"/>
        <v>0</v>
      </c>
      <c r="Z42">
        <f t="shared" si="58"/>
        <v>0</v>
      </c>
      <c r="AA42">
        <f>数据表!P12*H42</f>
        <v>0</v>
      </c>
      <c r="AD42">
        <v>0.66</v>
      </c>
    </row>
    <row r="43" ht="15.6" spans="1:30">
      <c r="A43" s="35">
        <v>12</v>
      </c>
      <c r="B43">
        <f>VLOOKUP(11,G2:I27,2,0)+B42</f>
        <v>0.331390878964465</v>
      </c>
      <c r="C43" s="44">
        <f>VLOOKUP(11,G2:I27,3,0)+C42</f>
        <v>0.0678860078145588</v>
      </c>
      <c r="D43">
        <f t="shared" si="46"/>
        <v>38.8403064970454</v>
      </c>
      <c r="E43">
        <f t="shared" si="47"/>
        <v>27.8603082943249</v>
      </c>
      <c r="G43" s="9" t="s">
        <v>194</v>
      </c>
      <c r="H43" s="10">
        <v>8</v>
      </c>
      <c r="I43" s="35">
        <f t="shared" si="54"/>
        <v>0</v>
      </c>
      <c r="J43" s="35">
        <f>数据表!T13</f>
        <v>10073.8285714286</v>
      </c>
      <c r="K43" s="44">
        <f t="shared" si="48"/>
        <v>0</v>
      </c>
      <c r="L43">
        <f>数据表!S13</f>
        <v>8000</v>
      </c>
      <c r="M43" s="44">
        <f t="shared" si="49"/>
        <v>0</v>
      </c>
      <c r="N43" s="63">
        <v>0.75</v>
      </c>
      <c r="O43" s="64">
        <v>0</v>
      </c>
      <c r="P43" s="78">
        <v>0.011</v>
      </c>
      <c r="Q43">
        <f t="shared" si="50"/>
        <v>0</v>
      </c>
      <c r="R43" s="96">
        <f t="shared" si="51"/>
        <v>0</v>
      </c>
      <c r="S43">
        <f t="shared" si="52"/>
        <v>0</v>
      </c>
      <c r="T43">
        <f t="shared" si="55"/>
        <v>0</v>
      </c>
      <c r="U43">
        <f t="shared" si="56"/>
        <v>0</v>
      </c>
      <c r="V43" s="35">
        <f t="shared" si="57"/>
        <v>0</v>
      </c>
      <c r="W43" s="97">
        <f>数据表!L13</f>
        <v>8000</v>
      </c>
      <c r="X43" s="98">
        <f>数据表!M13</f>
        <v>0</v>
      </c>
      <c r="Y43" s="35">
        <f t="shared" si="53"/>
        <v>0</v>
      </c>
      <c r="Z43">
        <f t="shared" si="58"/>
        <v>0</v>
      </c>
      <c r="AA43">
        <f>数据表!P13*H43</f>
        <v>0</v>
      </c>
      <c r="AD43">
        <v>0.9</v>
      </c>
    </row>
    <row r="44" ht="15.6" spans="1:30">
      <c r="A44" s="35">
        <v>13</v>
      </c>
      <c r="B44">
        <f>VLOOKUP(12,G2:I27,2,0)+B43</f>
        <v>0.365318148607441</v>
      </c>
      <c r="C44" s="44">
        <f>VLOOKUP(12,G2:I27,3,0)+C43</f>
        <v>0.0791950976955506</v>
      </c>
      <c r="D44">
        <f t="shared" si="46"/>
        <v>34.1544585931733</v>
      </c>
      <c r="E44">
        <f t="shared" si="47"/>
        <v>23.5415938370608</v>
      </c>
      <c r="G44" s="9" t="s">
        <v>194</v>
      </c>
      <c r="H44" s="10">
        <v>0.5</v>
      </c>
      <c r="I44" s="35">
        <f t="shared" si="54"/>
        <v>0</v>
      </c>
      <c r="J44" s="35">
        <f>数据表!T14</f>
        <v>14594.9142857143</v>
      </c>
      <c r="K44" s="44">
        <f t="shared" si="48"/>
        <v>0</v>
      </c>
      <c r="L44">
        <f>数据表!S14</f>
        <v>14500</v>
      </c>
      <c r="M44" s="44">
        <f t="shared" si="49"/>
        <v>0</v>
      </c>
      <c r="N44" s="66">
        <v>17.61</v>
      </c>
      <c r="O44" s="67">
        <v>0</v>
      </c>
      <c r="P44" s="65">
        <v>0.25</v>
      </c>
      <c r="Q44">
        <f t="shared" si="50"/>
        <v>0</v>
      </c>
      <c r="R44" s="96">
        <f t="shared" si="51"/>
        <v>0</v>
      </c>
      <c r="S44">
        <f t="shared" si="52"/>
        <v>0</v>
      </c>
      <c r="T44">
        <f t="shared" si="55"/>
        <v>0</v>
      </c>
      <c r="U44">
        <f t="shared" si="56"/>
        <v>0</v>
      </c>
      <c r="V44" s="35">
        <f t="shared" si="57"/>
        <v>0</v>
      </c>
      <c r="W44" s="97">
        <f>数据表!L14</f>
        <v>5000</v>
      </c>
      <c r="X44" s="98">
        <f>数据表!M14</f>
        <v>5</v>
      </c>
      <c r="Y44" s="35">
        <f t="shared" si="53"/>
        <v>0</v>
      </c>
      <c r="Z44">
        <f t="shared" si="58"/>
        <v>0</v>
      </c>
      <c r="AA44">
        <f>数据表!P14*H44</f>
        <v>0</v>
      </c>
      <c r="AD44">
        <v>1.39</v>
      </c>
    </row>
    <row r="45" ht="15.6" spans="1:30">
      <c r="A45" s="35">
        <v>14</v>
      </c>
      <c r="B45">
        <f>VLOOKUP(13,G2:I27,2,0)+B44</f>
        <v>0.408627235579342</v>
      </c>
      <c r="C45" s="44">
        <f>VLOOKUP(13,G2:I27,3,0)+C44</f>
        <v>0.0936314600195177</v>
      </c>
      <c r="D45">
        <f t="shared" si="46"/>
        <v>28.7297789248156</v>
      </c>
      <c r="E45">
        <f t="shared" si="47"/>
        <v>18.7451439834048</v>
      </c>
      <c r="G45" s="15" t="s">
        <v>199</v>
      </c>
      <c r="H45" s="16">
        <v>2.5</v>
      </c>
      <c r="I45" s="35">
        <f t="shared" si="54"/>
        <v>22.2709438449978</v>
      </c>
      <c r="J45" s="35">
        <f>数据表!T15</f>
        <v>6220.28571428571</v>
      </c>
      <c r="K45" s="44">
        <f t="shared" si="48"/>
        <v>138531.633842699</v>
      </c>
      <c r="L45">
        <f>数据表!S15</f>
        <v>8000</v>
      </c>
      <c r="M45" s="44">
        <f t="shared" si="49"/>
        <v>178167.550759982</v>
      </c>
      <c r="N45" s="76">
        <v>0</v>
      </c>
      <c r="O45" s="77">
        <v>0.61</v>
      </c>
      <c r="P45" s="65">
        <v>0.014</v>
      </c>
      <c r="Q45">
        <f t="shared" si="50"/>
        <v>0</v>
      </c>
      <c r="R45" s="96">
        <f t="shared" si="51"/>
        <v>33.9631893636216</v>
      </c>
      <c r="S45">
        <f t="shared" si="52"/>
        <v>0.779483034574923</v>
      </c>
      <c r="T45">
        <f t="shared" si="55"/>
        <v>8.68566809954914</v>
      </c>
      <c r="U45">
        <f t="shared" si="56"/>
        <v>0</v>
      </c>
      <c r="V45" s="35">
        <f t="shared" si="57"/>
        <v>55.6773596124945</v>
      </c>
      <c r="W45" s="97">
        <f>数据表!L15</f>
        <v>3000</v>
      </c>
      <c r="X45" s="98">
        <f>数据表!M15</f>
        <v>0</v>
      </c>
      <c r="Y45" s="35">
        <f t="shared" si="53"/>
        <v>66812.8315349934</v>
      </c>
      <c r="Z45">
        <f t="shared" si="58"/>
        <v>0</v>
      </c>
      <c r="AA45">
        <f>数据表!P15*H45</f>
        <v>0</v>
      </c>
      <c r="AD45">
        <v>0.39</v>
      </c>
    </row>
    <row r="46" ht="15.6" spans="1:30">
      <c r="A46" s="35">
        <v>15</v>
      </c>
      <c r="B46">
        <f>VLOOKUP(14,G2:I27,2,0)+B45</f>
        <v>0.408627235579342</v>
      </c>
      <c r="C46" s="44">
        <f>VLOOKUP(14,G2:I27,3,0)+C45</f>
        <v>0.0936314600195177</v>
      </c>
      <c r="D46">
        <f t="shared" si="46"/>
        <v>28.7297789248156</v>
      </c>
      <c r="E46">
        <f t="shared" si="47"/>
        <v>18.7451439834048</v>
      </c>
      <c r="G46" s="7" t="s">
        <v>199</v>
      </c>
      <c r="H46" s="8">
        <v>5</v>
      </c>
      <c r="I46" s="35">
        <f t="shared" si="54"/>
        <v>24.8654273921028</v>
      </c>
      <c r="J46" s="35">
        <f>数据表!T16</f>
        <v>10013.1428571429</v>
      </c>
      <c r="K46" s="44">
        <f t="shared" si="48"/>
        <v>248981.076681039</v>
      </c>
      <c r="L46">
        <f>数据表!S16</f>
        <v>8000</v>
      </c>
      <c r="M46" s="44">
        <f t="shared" si="49"/>
        <v>198923.419136822</v>
      </c>
      <c r="N46" s="60">
        <v>0</v>
      </c>
      <c r="O46" s="61">
        <v>0.51</v>
      </c>
      <c r="P46" s="65">
        <v>0.01</v>
      </c>
      <c r="Q46">
        <f t="shared" si="50"/>
        <v>0</v>
      </c>
      <c r="R46" s="96">
        <f t="shared" si="51"/>
        <v>63.4068398498621</v>
      </c>
      <c r="S46">
        <f t="shared" si="52"/>
        <v>1.24327136960514</v>
      </c>
      <c r="T46">
        <f t="shared" si="55"/>
        <v>13.6759850656565</v>
      </c>
      <c r="U46">
        <f t="shared" si="56"/>
        <v>0</v>
      </c>
      <c r="V46" s="35">
        <f t="shared" si="57"/>
        <v>124.327136960514</v>
      </c>
      <c r="W46" s="97">
        <f>数据表!L16</f>
        <v>5000</v>
      </c>
      <c r="X46" s="98">
        <f>数据表!M16</f>
        <v>0</v>
      </c>
      <c r="Y46" s="35">
        <f t="shared" si="53"/>
        <v>124327.136960514</v>
      </c>
      <c r="Z46">
        <f t="shared" si="58"/>
        <v>0</v>
      </c>
      <c r="AA46">
        <f>数据表!P16*H46</f>
        <v>0</v>
      </c>
      <c r="AD46">
        <v>0.55</v>
      </c>
    </row>
    <row r="47" ht="15.6" spans="1:30">
      <c r="A47" s="35">
        <v>16</v>
      </c>
      <c r="B47">
        <f>VLOOKUP(15,G2:I27,2,0)+B46</f>
        <v>0.472609047944632</v>
      </c>
      <c r="C47" s="44">
        <f>VLOOKUP(15,G2:I27,3,0)+C46</f>
        <v>0.114958730807948</v>
      </c>
      <c r="D47">
        <f t="shared" si="46"/>
        <v>21.7867471852005</v>
      </c>
      <c r="E47">
        <f t="shared" si="47"/>
        <v>12.9825961117969</v>
      </c>
      <c r="G47" s="9" t="s">
        <v>199</v>
      </c>
      <c r="H47" s="10">
        <v>8</v>
      </c>
      <c r="I47" s="35">
        <f t="shared" si="54"/>
        <v>7.10474562508989</v>
      </c>
      <c r="J47" s="35">
        <f>数据表!T17</f>
        <v>16385.1428571429</v>
      </c>
      <c r="K47" s="44">
        <f t="shared" si="48"/>
        <v>116412.272030759</v>
      </c>
      <c r="L47">
        <f>数据表!S17</f>
        <v>8000</v>
      </c>
      <c r="M47" s="44">
        <f t="shared" si="49"/>
        <v>56837.9650007191</v>
      </c>
      <c r="N47" s="66">
        <v>0</v>
      </c>
      <c r="O47" s="67">
        <v>0.51</v>
      </c>
      <c r="P47" s="65">
        <v>0.011</v>
      </c>
      <c r="Q47">
        <f t="shared" si="50"/>
        <v>0</v>
      </c>
      <c r="R47" s="96">
        <f t="shared" si="51"/>
        <v>28.9873621503668</v>
      </c>
      <c r="S47">
        <f t="shared" si="52"/>
        <v>0.62521761500791</v>
      </c>
      <c r="T47">
        <f t="shared" si="55"/>
        <v>7.45998290634439</v>
      </c>
      <c r="U47">
        <f t="shared" si="56"/>
        <v>0</v>
      </c>
      <c r="V47" s="35">
        <f t="shared" si="57"/>
        <v>56.8379650007191</v>
      </c>
      <c r="W47" s="97">
        <f>数据表!L17</f>
        <v>8000</v>
      </c>
      <c r="X47" s="98">
        <f>数据表!M17</f>
        <v>0</v>
      </c>
      <c r="Y47" s="35">
        <f t="shared" si="53"/>
        <v>56837.9650007191</v>
      </c>
      <c r="Z47">
        <f t="shared" si="58"/>
        <v>0</v>
      </c>
      <c r="AA47">
        <f>数据表!P17*H47</f>
        <v>0</v>
      </c>
      <c r="AD47">
        <v>1.05</v>
      </c>
    </row>
    <row r="48" ht="16.35" spans="1:30">
      <c r="A48" s="35">
        <v>17</v>
      </c>
      <c r="B48">
        <f>VLOOKUP(16,G2:I27,2,0)+B47</f>
        <v>0.520527225406616</v>
      </c>
      <c r="C48" s="44">
        <f>VLOOKUP(16,G2:I27,3,0)+C47</f>
        <v>0.130931456628609</v>
      </c>
      <c r="D48">
        <f t="shared" si="46"/>
        <v>17.3634477843508</v>
      </c>
      <c r="E48">
        <f t="shared" si="47"/>
        <v>9.57956716897562</v>
      </c>
      <c r="G48" s="20" t="s">
        <v>199</v>
      </c>
      <c r="H48" s="21">
        <v>0.5</v>
      </c>
      <c r="I48" s="35">
        <f t="shared" si="54"/>
        <v>1.3408210522785</v>
      </c>
      <c r="J48" s="35">
        <f>数据表!T18</f>
        <v>23546.0571428571</v>
      </c>
      <c r="K48" s="44">
        <f t="shared" si="48"/>
        <v>31571.0491152954</v>
      </c>
      <c r="L48">
        <f>数据表!S18</f>
        <v>14500</v>
      </c>
      <c r="M48" s="44">
        <f t="shared" si="49"/>
        <v>19441.9052580382</v>
      </c>
      <c r="N48" s="60">
        <v>0</v>
      </c>
      <c r="O48" s="61">
        <v>11.77</v>
      </c>
      <c r="P48" s="68">
        <v>0.25</v>
      </c>
      <c r="Q48">
        <f t="shared" si="50"/>
        <v>0</v>
      </c>
      <c r="R48" s="96">
        <f t="shared" si="51"/>
        <v>7.89073189265896</v>
      </c>
      <c r="S48">
        <f t="shared" si="52"/>
        <v>0.167602631534812</v>
      </c>
      <c r="T48">
        <f t="shared" si="55"/>
        <v>1.85033305214433</v>
      </c>
      <c r="U48">
        <f t="shared" si="56"/>
        <v>0</v>
      </c>
      <c r="V48" s="35">
        <f t="shared" si="57"/>
        <v>0.670410526139249</v>
      </c>
      <c r="W48" s="97">
        <f>数据表!L18</f>
        <v>5000</v>
      </c>
      <c r="X48" s="98">
        <f>数据表!M18</f>
        <v>5</v>
      </c>
      <c r="Y48" s="35">
        <f t="shared" si="53"/>
        <v>6704.10526139249</v>
      </c>
      <c r="Z48">
        <f t="shared" si="58"/>
        <v>6.70410526139249</v>
      </c>
      <c r="AA48">
        <f>数据表!P18*H48</f>
        <v>0</v>
      </c>
      <c r="AD48">
        <v>1.38</v>
      </c>
    </row>
    <row r="49" ht="15.6" spans="1:30">
      <c r="A49" s="35">
        <v>18</v>
      </c>
      <c r="B49">
        <f>VLOOKUP(17,G2:I27,2,0)+B48</f>
        <v>0.614236307796699</v>
      </c>
      <c r="C49" s="44">
        <f>VLOOKUP(17,G2:I27,3,0)+C48</f>
        <v>0.162167817425303</v>
      </c>
      <c r="D49">
        <f t="shared" si="46"/>
        <v>10.4461624705007</v>
      </c>
      <c r="E49">
        <f t="shared" si="47"/>
        <v>4.8097343212483</v>
      </c>
      <c r="G49" s="13" t="s">
        <v>204</v>
      </c>
      <c r="H49" s="14">
        <v>1.5</v>
      </c>
      <c r="I49" s="35">
        <f t="shared" si="54"/>
        <v>0</v>
      </c>
      <c r="J49" s="35">
        <f>数据表!T19</f>
        <v>2655</v>
      </c>
      <c r="K49" s="44">
        <f t="shared" si="48"/>
        <v>0</v>
      </c>
      <c r="L49">
        <f>数据表!S19</f>
        <v>8000</v>
      </c>
      <c r="M49" s="44">
        <f t="shared" si="49"/>
        <v>0</v>
      </c>
      <c r="N49" s="69">
        <v>0.58</v>
      </c>
      <c r="O49" s="70">
        <v>0.15</v>
      </c>
      <c r="P49" s="79">
        <v>0.016</v>
      </c>
      <c r="Q49">
        <f t="shared" si="50"/>
        <v>0</v>
      </c>
      <c r="R49" s="96">
        <f t="shared" si="51"/>
        <v>0</v>
      </c>
      <c r="S49">
        <f t="shared" si="52"/>
        <v>0</v>
      </c>
      <c r="T49">
        <f t="shared" si="55"/>
        <v>0</v>
      </c>
      <c r="U49">
        <f t="shared" si="56"/>
        <v>0</v>
      </c>
      <c r="V49" s="35">
        <f t="shared" si="57"/>
        <v>0</v>
      </c>
      <c r="W49" s="97">
        <f>数据表!L19</f>
        <v>1500</v>
      </c>
      <c r="X49" s="98">
        <f>数据表!M19</f>
        <v>0</v>
      </c>
      <c r="Y49" s="35">
        <f t="shared" si="53"/>
        <v>0</v>
      </c>
      <c r="Z49">
        <f t="shared" si="58"/>
        <v>0</v>
      </c>
      <c r="AA49">
        <f>数据表!P19*H49</f>
        <v>0</v>
      </c>
      <c r="AD49">
        <v>0.27</v>
      </c>
    </row>
    <row r="50" ht="15.6" spans="1:30">
      <c r="A50" s="35">
        <v>19</v>
      </c>
      <c r="B50">
        <f>VLOOKUP(18,G2:I27,2,0)+B49</f>
        <v>0.615436307687608</v>
      </c>
      <c r="C50" s="44">
        <f>VLOOKUP(18,G2:I27,3,0)+C49</f>
        <v>0.16256781738894</v>
      </c>
      <c r="D50">
        <f t="shared" si="46"/>
        <v>10.3713633977874</v>
      </c>
      <c r="E50">
        <f t="shared" si="47"/>
        <v>4.76271378791649</v>
      </c>
      <c r="G50" s="15" t="s">
        <v>204</v>
      </c>
      <c r="H50" s="16">
        <v>2.5</v>
      </c>
      <c r="I50" s="35">
        <f t="shared" si="54"/>
        <v>6.40420854082065</v>
      </c>
      <c r="J50" s="35">
        <f>数据表!T20</f>
        <v>3489.42857142857</v>
      </c>
      <c r="K50" s="44">
        <f t="shared" si="48"/>
        <v>22347.0282597265</v>
      </c>
      <c r="L50">
        <f>数据表!S20</f>
        <v>8000</v>
      </c>
      <c r="M50" s="44">
        <f t="shared" si="49"/>
        <v>51233.6683265652</v>
      </c>
      <c r="N50" s="66">
        <v>0.45</v>
      </c>
      <c r="O50" s="67">
        <v>0.1</v>
      </c>
      <c r="P50" s="65">
        <v>0.014</v>
      </c>
      <c r="Q50">
        <f t="shared" si="50"/>
        <v>7.20473460842324</v>
      </c>
      <c r="R50" s="96">
        <f t="shared" si="51"/>
        <v>1.60105213520516</v>
      </c>
      <c r="S50">
        <f t="shared" si="52"/>
        <v>0.224147298928723</v>
      </c>
      <c r="T50">
        <f t="shared" si="55"/>
        <v>2.49764133092006</v>
      </c>
      <c r="U50">
        <f t="shared" si="56"/>
        <v>0</v>
      </c>
      <c r="V50" s="35">
        <f t="shared" si="57"/>
        <v>16.0105213520516</v>
      </c>
      <c r="W50" s="97">
        <f>数据表!L20</f>
        <v>3000</v>
      </c>
      <c r="X50" s="98">
        <f>数据表!M20</f>
        <v>0</v>
      </c>
      <c r="Y50" s="35">
        <f t="shared" si="53"/>
        <v>19212.625622462</v>
      </c>
      <c r="Z50">
        <f t="shared" si="58"/>
        <v>0</v>
      </c>
      <c r="AA50">
        <f>数据表!P20*H50</f>
        <v>0</v>
      </c>
      <c r="AD50">
        <v>0.39</v>
      </c>
    </row>
    <row r="51" ht="16.35" spans="1:30">
      <c r="A51" s="35">
        <v>20</v>
      </c>
      <c r="B51">
        <f>VLOOKUP(19,G2:I27,2,0)+B50</f>
        <v>0.701972663457031</v>
      </c>
      <c r="C51" s="44">
        <f>VLOOKUP(19,G2:I27,3,0)+C50</f>
        <v>0.19141326931208</v>
      </c>
      <c r="D51">
        <f t="shared" si="46"/>
        <v>5.80718181235712</v>
      </c>
      <c r="E51">
        <f t="shared" si="47"/>
        <v>2.14039986395169</v>
      </c>
      <c r="G51" s="22" t="s">
        <v>204</v>
      </c>
      <c r="H51" s="23">
        <v>4</v>
      </c>
      <c r="I51" s="35">
        <f t="shared" si="54"/>
        <v>12.8687533447263</v>
      </c>
      <c r="J51" s="35">
        <f>数据表!T21</f>
        <v>8536.45714285714</v>
      </c>
      <c r="K51" s="44">
        <f t="shared" si="48"/>
        <v>109853.561409256</v>
      </c>
      <c r="L51">
        <f>数据表!S21</f>
        <v>8000</v>
      </c>
      <c r="M51" s="44">
        <f t="shared" si="49"/>
        <v>102950.026757811</v>
      </c>
      <c r="N51" s="80">
        <v>0.52</v>
      </c>
      <c r="O51" s="81">
        <v>0.14</v>
      </c>
      <c r="P51" s="68">
        <v>0.026</v>
      </c>
      <c r="Q51">
        <f t="shared" si="50"/>
        <v>26.7670069570308</v>
      </c>
      <c r="R51" s="96">
        <f t="shared" si="51"/>
        <v>7.20650187304676</v>
      </c>
      <c r="S51">
        <f t="shared" si="52"/>
        <v>1.33835034785154</v>
      </c>
      <c r="T51">
        <f t="shared" si="55"/>
        <v>14.7990663464353</v>
      </c>
      <c r="U51">
        <f t="shared" si="56"/>
        <v>0</v>
      </c>
      <c r="V51" s="35">
        <f t="shared" si="57"/>
        <v>51.4750133789054</v>
      </c>
      <c r="W51" s="97">
        <f>数据表!L21</f>
        <v>6000</v>
      </c>
      <c r="X51" s="98">
        <f>数据表!M21</f>
        <v>0</v>
      </c>
      <c r="Y51" s="35">
        <f t="shared" si="53"/>
        <v>77212.5200683581</v>
      </c>
      <c r="Z51">
        <f t="shared" si="58"/>
        <v>0</v>
      </c>
      <c r="AA51">
        <f>数据表!P21*H51</f>
        <v>0</v>
      </c>
      <c r="AD51">
        <v>1.15</v>
      </c>
    </row>
    <row r="52" ht="15.6" spans="1:30">
      <c r="A52" s="35">
        <v>21</v>
      </c>
      <c r="B52">
        <f>VLOOKUP(20,G2:I27,2,0)+B51</f>
        <v>0.715118116807444</v>
      </c>
      <c r="C52" s="44">
        <f>VLOOKUP(20,G2:I27,3,0)+C51</f>
        <v>0.195795087095552</v>
      </c>
      <c r="D52">
        <f t="shared" si="46"/>
        <v>5.24883725015443</v>
      </c>
      <c r="E52">
        <f t="shared" si="47"/>
        <v>1.85935029294318</v>
      </c>
      <c r="G52" s="19" t="s">
        <v>208</v>
      </c>
      <c r="H52" s="6">
        <v>2</v>
      </c>
      <c r="I52" s="35">
        <f t="shared" si="54"/>
        <v>0</v>
      </c>
      <c r="J52" s="35">
        <f>数据表!T22</f>
        <v>1638.51428571429</v>
      </c>
      <c r="K52" s="44">
        <f t="shared" si="48"/>
        <v>0</v>
      </c>
      <c r="L52">
        <f>数据表!S22</f>
        <v>8000</v>
      </c>
      <c r="M52" s="44">
        <f t="shared" si="49"/>
        <v>0</v>
      </c>
      <c r="N52" s="60">
        <v>0</v>
      </c>
      <c r="O52" s="61">
        <v>0</v>
      </c>
      <c r="P52" s="79">
        <v>0.018</v>
      </c>
      <c r="Q52">
        <f t="shared" si="50"/>
        <v>0</v>
      </c>
      <c r="R52" s="96">
        <f t="shared" si="51"/>
        <v>0</v>
      </c>
      <c r="S52">
        <f t="shared" si="52"/>
        <v>0</v>
      </c>
      <c r="T52">
        <f t="shared" si="55"/>
        <v>0</v>
      </c>
      <c r="U52">
        <f t="shared" si="56"/>
        <v>0</v>
      </c>
      <c r="V52" s="35">
        <f t="shared" si="57"/>
        <v>0</v>
      </c>
      <c r="W52" s="97">
        <f>数据表!L22</f>
        <v>0</v>
      </c>
      <c r="X52" s="98">
        <f>数据表!M22</f>
        <v>0</v>
      </c>
      <c r="Y52" s="35">
        <f t="shared" si="53"/>
        <v>0</v>
      </c>
      <c r="Z52">
        <f t="shared" si="58"/>
        <v>0</v>
      </c>
      <c r="AA52">
        <f>数据表!P22*H52</f>
        <v>0</v>
      </c>
      <c r="AD52" s="103">
        <v>0.4</v>
      </c>
    </row>
    <row r="53" ht="16.35" spans="1:30">
      <c r="A53" s="35">
        <v>22</v>
      </c>
      <c r="B53">
        <f>VLOOKUP(21,G2:I27,2,0)+B52</f>
        <v>0.734454478685956</v>
      </c>
      <c r="C53" s="44">
        <f>VLOOKUP(21,G2:I27,3,0)+C52</f>
        <v>0.202240541055056</v>
      </c>
      <c r="D53">
        <f t="shared" si="46"/>
        <v>4.48768005349635</v>
      </c>
      <c r="E53">
        <f t="shared" si="47"/>
        <v>1.49378779020978</v>
      </c>
      <c r="G53" s="24" t="s">
        <v>208</v>
      </c>
      <c r="H53" s="25">
        <v>2</v>
      </c>
      <c r="I53" s="35">
        <f t="shared" si="54"/>
        <v>0</v>
      </c>
      <c r="J53" s="35">
        <f>数据表!T23</f>
        <v>1911.6</v>
      </c>
      <c r="K53" s="44">
        <f t="shared" si="48"/>
        <v>0</v>
      </c>
      <c r="L53">
        <f>数据表!S23</f>
        <v>8000</v>
      </c>
      <c r="M53" s="44">
        <f t="shared" si="49"/>
        <v>0</v>
      </c>
      <c r="N53" s="63">
        <v>0</v>
      </c>
      <c r="O53" s="64">
        <v>0</v>
      </c>
      <c r="P53" s="68">
        <v>0.021</v>
      </c>
      <c r="Q53">
        <f t="shared" si="50"/>
        <v>0</v>
      </c>
      <c r="R53" s="96">
        <f t="shared" si="51"/>
        <v>0</v>
      </c>
      <c r="S53">
        <f t="shared" si="52"/>
        <v>0</v>
      </c>
      <c r="T53">
        <f t="shared" si="55"/>
        <v>0</v>
      </c>
      <c r="U53">
        <f t="shared" si="56"/>
        <v>0</v>
      </c>
      <c r="V53" s="35">
        <f t="shared" si="57"/>
        <v>0</v>
      </c>
      <c r="W53" s="97">
        <f>数据表!L23</f>
        <v>0</v>
      </c>
      <c r="X53" s="98">
        <f>数据表!M23</f>
        <v>0</v>
      </c>
      <c r="Y53" s="35">
        <f t="shared" si="53"/>
        <v>0</v>
      </c>
      <c r="Z53">
        <f t="shared" si="58"/>
        <v>0</v>
      </c>
      <c r="AA53">
        <f>数据表!P23*H53</f>
        <v>0</v>
      </c>
      <c r="AD53">
        <v>0.46</v>
      </c>
    </row>
    <row r="54" ht="15.6" spans="1:30">
      <c r="A54" s="35">
        <v>23</v>
      </c>
      <c r="B54">
        <f>VLOOKUP(22,G2:I27,2,0)+B53</f>
        <v>0.755427204052072</v>
      </c>
      <c r="C54" s="44">
        <f>VLOOKUP(22,G2:I27,3,0)+C53</f>
        <v>0.209231449510428</v>
      </c>
      <c r="D54">
        <f t="shared" si="46"/>
        <v>3.74037438620956</v>
      </c>
      <c r="E54">
        <f t="shared" si="47"/>
        <v>1.15684143098626</v>
      </c>
      <c r="G54" s="26" t="s">
        <v>211</v>
      </c>
      <c r="H54" s="27">
        <v>4</v>
      </c>
      <c r="I54" s="35">
        <f t="shared" si="54"/>
        <v>2.45608111909362</v>
      </c>
      <c r="J54" s="35">
        <f>数据表!T24</f>
        <v>6614.74285714286</v>
      </c>
      <c r="K54" s="44">
        <f t="shared" si="48"/>
        <v>16246.345039088</v>
      </c>
      <c r="L54">
        <f>数据表!S24</f>
        <v>8000</v>
      </c>
      <c r="M54" s="44">
        <f t="shared" si="49"/>
        <v>19648.648952749</v>
      </c>
      <c r="N54" s="82">
        <v>0.33</v>
      </c>
      <c r="O54" s="83">
        <v>0.09</v>
      </c>
      <c r="P54" s="79">
        <v>0.023</v>
      </c>
      <c r="Q54">
        <f t="shared" si="50"/>
        <v>3.24202707720358</v>
      </c>
      <c r="R54" s="96">
        <f t="shared" si="51"/>
        <v>0.884189202873703</v>
      </c>
      <c r="S54">
        <f t="shared" si="52"/>
        <v>0.225959462956613</v>
      </c>
      <c r="T54">
        <f t="shared" si="55"/>
        <v>2.45608111909362</v>
      </c>
      <c r="U54">
        <f t="shared" si="56"/>
        <v>0</v>
      </c>
      <c r="V54" s="35">
        <f t="shared" si="57"/>
        <v>9.82432447637448</v>
      </c>
      <c r="W54" s="97">
        <f>数据表!L24</f>
        <v>0</v>
      </c>
      <c r="X54" s="98">
        <f>数据表!M24</f>
        <v>0</v>
      </c>
      <c r="Y54" s="35">
        <f t="shared" si="53"/>
        <v>0</v>
      </c>
      <c r="Z54">
        <f t="shared" si="58"/>
        <v>0</v>
      </c>
      <c r="AA54">
        <f>数据表!P24*H54</f>
        <v>0</v>
      </c>
      <c r="AD54">
        <v>1</v>
      </c>
    </row>
    <row r="55" ht="15.6" spans="1:30">
      <c r="A55" s="35">
        <v>24</v>
      </c>
      <c r="B55">
        <f>VLOOKUP(23,G2:I27,2,0)+B54</f>
        <v>0.86438173960166</v>
      </c>
      <c r="C55" s="44">
        <f>VLOOKUP(23,G2:I27,3,0)+C54</f>
        <v>0.245549628026957</v>
      </c>
      <c r="D55">
        <f t="shared" si="46"/>
        <v>1.04688190344498</v>
      </c>
      <c r="E55">
        <f t="shared" si="47"/>
        <v>0.188185078650585</v>
      </c>
      <c r="G55" s="15" t="s">
        <v>213</v>
      </c>
      <c r="H55" s="16">
        <v>6</v>
      </c>
      <c r="I55" s="35">
        <f t="shared" si="54"/>
        <v>0</v>
      </c>
      <c r="J55" s="35">
        <f>数据表!T25</f>
        <v>3277.02857142857</v>
      </c>
      <c r="K55" s="44">
        <f t="shared" si="48"/>
        <v>0</v>
      </c>
      <c r="L55">
        <f>数据表!S25</f>
        <v>8000</v>
      </c>
      <c r="M55" s="44">
        <f t="shared" si="49"/>
        <v>0</v>
      </c>
      <c r="N55" s="60">
        <v>0</v>
      </c>
      <c r="O55" s="61">
        <v>0</v>
      </c>
      <c r="P55" s="65">
        <v>0.012</v>
      </c>
      <c r="Q55">
        <f t="shared" si="50"/>
        <v>0</v>
      </c>
      <c r="R55" s="96">
        <f t="shared" si="51"/>
        <v>0</v>
      </c>
      <c r="S55">
        <f t="shared" si="52"/>
        <v>0</v>
      </c>
      <c r="T55">
        <f t="shared" si="55"/>
        <v>0</v>
      </c>
      <c r="U55">
        <f t="shared" si="56"/>
        <v>0</v>
      </c>
      <c r="V55" s="35">
        <f t="shared" si="57"/>
        <v>0</v>
      </c>
      <c r="W55" s="97">
        <f>数据表!L25</f>
        <v>0</v>
      </c>
      <c r="X55" s="98">
        <f>数据表!M25</f>
        <v>0</v>
      </c>
      <c r="Y55" s="35">
        <f t="shared" si="53"/>
        <v>0</v>
      </c>
      <c r="Z55">
        <f t="shared" si="58"/>
        <v>0</v>
      </c>
      <c r="AA55">
        <f>数据表!P25*H55</f>
        <v>0</v>
      </c>
      <c r="AD55">
        <v>0.81</v>
      </c>
    </row>
    <row r="56" ht="15.6" spans="1:30">
      <c r="A56" s="35">
        <v>25</v>
      </c>
      <c r="B56">
        <f>VLOOKUP(24,G2:I27,2,0)+B55</f>
        <v>0.876709011208272</v>
      </c>
      <c r="C56" s="44">
        <f>VLOOKUP(24,G2:I27,3,0)+C55</f>
        <v>0.249658718562494</v>
      </c>
      <c r="D56">
        <f t="shared" si="46"/>
        <v>0.855815903261306</v>
      </c>
      <c r="E56">
        <f t="shared" si="47"/>
        <v>0.140621863073597</v>
      </c>
      <c r="G56" s="7" t="s">
        <v>213</v>
      </c>
      <c r="H56" s="8">
        <v>8</v>
      </c>
      <c r="I56" s="35">
        <f t="shared" si="54"/>
        <v>5.02082171890577</v>
      </c>
      <c r="J56" s="35">
        <f>数据表!T26</f>
        <v>4814.4</v>
      </c>
      <c r="K56" s="44">
        <f t="shared" si="48"/>
        <v>24172.2440835</v>
      </c>
      <c r="L56">
        <f>数据表!S26</f>
        <v>8000</v>
      </c>
      <c r="M56" s="44">
        <f t="shared" si="49"/>
        <v>40166.5737512462</v>
      </c>
      <c r="N56" s="66">
        <v>0.07</v>
      </c>
      <c r="O56" s="67">
        <v>0.01</v>
      </c>
      <c r="P56" s="65">
        <v>0.011</v>
      </c>
      <c r="Q56">
        <f t="shared" si="50"/>
        <v>2.81166016258723</v>
      </c>
      <c r="R56" s="96">
        <f t="shared" si="51"/>
        <v>0.401665737512462</v>
      </c>
      <c r="S56">
        <f t="shared" si="52"/>
        <v>0.441832311263708</v>
      </c>
      <c r="T56">
        <f t="shared" si="55"/>
        <v>4.92040528452766</v>
      </c>
      <c r="U56">
        <f t="shared" si="56"/>
        <v>0</v>
      </c>
      <c r="V56" s="35">
        <f t="shared" si="57"/>
        <v>40.1665737512462</v>
      </c>
      <c r="W56" s="97">
        <f>数据表!L26</f>
        <v>0</v>
      </c>
      <c r="X56" s="98">
        <f>数据表!M26</f>
        <v>0</v>
      </c>
      <c r="Y56" s="35">
        <f t="shared" si="53"/>
        <v>0</v>
      </c>
      <c r="Z56">
        <f t="shared" si="58"/>
        <v>0</v>
      </c>
      <c r="AA56">
        <f>数据表!P26*H56</f>
        <v>0</v>
      </c>
      <c r="AD56">
        <v>0.98</v>
      </c>
    </row>
    <row r="57" ht="16.35" spans="1:30">
      <c r="A57" s="41">
        <v>26</v>
      </c>
      <c r="B57" s="46">
        <f>VLOOKUP(25,G2:I27,2,0)+B56</f>
        <v>0.948954459185959</v>
      </c>
      <c r="C57" s="47">
        <f>VLOOKUP(25,G2:I27,3,0)+C56</f>
        <v>0.273740534555056</v>
      </c>
      <c r="D57">
        <f t="shared" si="46"/>
        <v>0.137435596001557</v>
      </c>
      <c r="E57">
        <f t="shared" si="47"/>
        <v>0.00965973547856143</v>
      </c>
      <c r="G57" s="17" t="s">
        <v>213</v>
      </c>
      <c r="H57" s="18">
        <v>12</v>
      </c>
      <c r="I57" s="35">
        <f t="shared" si="54"/>
        <v>0</v>
      </c>
      <c r="J57" s="35">
        <f>数据表!T27</f>
        <v>6493.37142857143</v>
      </c>
      <c r="K57" s="44">
        <f t="shared" si="48"/>
        <v>0</v>
      </c>
      <c r="L57">
        <f>数据表!S27</f>
        <v>14000</v>
      </c>
      <c r="M57" s="44">
        <f t="shared" si="49"/>
        <v>0</v>
      </c>
      <c r="N57" s="80">
        <v>0.07</v>
      </c>
      <c r="O57" s="81">
        <v>0.02</v>
      </c>
      <c r="P57" s="68">
        <v>0.009</v>
      </c>
      <c r="Q57">
        <f t="shared" si="50"/>
        <v>0</v>
      </c>
      <c r="R57" s="96">
        <f t="shared" si="51"/>
        <v>0</v>
      </c>
      <c r="S57">
        <f t="shared" si="52"/>
        <v>0</v>
      </c>
      <c r="T57">
        <f t="shared" si="55"/>
        <v>0</v>
      </c>
      <c r="U57">
        <f t="shared" si="56"/>
        <v>0</v>
      </c>
      <c r="V57" s="35">
        <f t="shared" si="57"/>
        <v>0</v>
      </c>
      <c r="W57" s="97">
        <f>数据表!L27</f>
        <v>0</v>
      </c>
      <c r="X57" s="98">
        <f>数据表!M27</f>
        <v>0</v>
      </c>
      <c r="Y57" s="35">
        <f t="shared" si="53"/>
        <v>0</v>
      </c>
      <c r="Z57">
        <f t="shared" si="58"/>
        <v>0</v>
      </c>
      <c r="AA57">
        <f>数据表!P27*H57</f>
        <v>0</v>
      </c>
      <c r="AD57">
        <v>1.14</v>
      </c>
    </row>
    <row r="58" ht="16.35" spans="2:30">
      <c r="B58">
        <f>VLOOKUP(26,G2:I27,2,0)+B57</f>
        <v>0.965072639538851</v>
      </c>
      <c r="C58">
        <f>VLOOKUP(26,G2:I27,3,0)+C57</f>
        <v>0.279113261339354</v>
      </c>
      <c r="G58" s="5" t="s">
        <v>215</v>
      </c>
      <c r="H58" s="48">
        <v>3</v>
      </c>
      <c r="I58" s="35">
        <f t="shared" si="54"/>
        <v>0</v>
      </c>
      <c r="J58" s="41">
        <f>数据表!T28</f>
        <v>1501.97142857143</v>
      </c>
      <c r="K58" s="47">
        <f t="shared" si="48"/>
        <v>0</v>
      </c>
      <c r="L58">
        <f>数据表!S28</f>
        <v>8000</v>
      </c>
      <c r="M58" s="47">
        <f t="shared" si="49"/>
        <v>0</v>
      </c>
      <c r="N58" s="60">
        <v>0</v>
      </c>
      <c r="O58" s="61">
        <v>0</v>
      </c>
      <c r="P58" s="84">
        <v>0.011</v>
      </c>
      <c r="Q58">
        <f t="shared" si="50"/>
        <v>0</v>
      </c>
      <c r="R58" s="96">
        <f t="shared" si="51"/>
        <v>0</v>
      </c>
      <c r="S58">
        <f t="shared" si="52"/>
        <v>0</v>
      </c>
      <c r="T58">
        <f t="shared" si="55"/>
        <v>0</v>
      </c>
      <c r="U58">
        <f t="shared" si="56"/>
        <v>0</v>
      </c>
      <c r="V58" s="35">
        <f t="shared" si="57"/>
        <v>0</v>
      </c>
      <c r="W58" s="97">
        <f>数据表!L28</f>
        <v>0</v>
      </c>
      <c r="X58" s="98">
        <f>数据表!M28</f>
        <v>0</v>
      </c>
      <c r="Y58" s="41">
        <f t="shared" si="53"/>
        <v>0</v>
      </c>
      <c r="Z58">
        <f t="shared" si="58"/>
        <v>0</v>
      </c>
      <c r="AA58">
        <f>数据表!P28*H58</f>
        <v>0</v>
      </c>
      <c r="AD58">
        <v>0.35</v>
      </c>
    </row>
    <row r="59" ht="15.15" spans="7:26">
      <c r="G59" s="49" t="s">
        <v>295</v>
      </c>
      <c r="H59" s="31" t="s">
        <v>296</v>
      </c>
      <c r="I59" s="32">
        <f t="shared" ref="I59:M59" si="59">SUM(I33:I58)</f>
        <v>100</v>
      </c>
      <c r="J59" s="31" t="s">
        <v>297</v>
      </c>
      <c r="K59" s="85">
        <f t="shared" si="59"/>
        <v>892013.047448558</v>
      </c>
      <c r="L59" s="32" t="s">
        <v>298</v>
      </c>
      <c r="M59" s="85">
        <f>SUM(M33:M58)</f>
        <v>808715.33683981</v>
      </c>
      <c r="N59" s="31"/>
      <c r="O59" s="32"/>
      <c r="P59" s="31"/>
      <c r="Q59" s="31">
        <f t="shared" ref="Q59:V59" si="60">SUM(Q33:Q58)</f>
        <v>40.0254288052449</v>
      </c>
      <c r="R59" s="32">
        <f t="shared" si="60"/>
        <v>144.341532205148</v>
      </c>
      <c r="S59" s="85">
        <f t="shared" si="60"/>
        <v>9.08630619008613</v>
      </c>
      <c r="T59">
        <f t="shared" si="60"/>
        <v>87.9188554333978</v>
      </c>
      <c r="U59" s="99">
        <f t="shared" si="60"/>
        <v>0</v>
      </c>
      <c r="V59" s="85">
        <f t="shared" si="60"/>
        <v>396.915249002326</v>
      </c>
      <c r="W59" s="100"/>
      <c r="X59" s="101"/>
      <c r="Y59" s="31">
        <f>SUM(Y33:Y58)</f>
        <v>376544.843455261</v>
      </c>
      <c r="Z59">
        <f>SUM(Z33:Z58)</f>
        <v>6.70410526139249</v>
      </c>
    </row>
    <row r="60" ht="15.15" spans="7:26">
      <c r="G60" s="31"/>
      <c r="H60" s="32"/>
      <c r="I60" s="32"/>
      <c r="J60" s="31" t="s">
        <v>299</v>
      </c>
      <c r="K60" s="85">
        <f>M60/L60*100</f>
        <v>102.323650952218</v>
      </c>
      <c r="L60" s="32">
        <f>SUM(M33:M35)+SUM(M37:M39)+SUM(M41:M43)+SUM(M45:M47)+SUM(M49:M58)</f>
        <v>748573.177170856</v>
      </c>
      <c r="M60" s="85">
        <f>SUM(K33:K35)+SUM(K37:K39)+SUM(K41:K43)+SUM(K45:K47)+SUM(K49:K58)</f>
        <v>765967.404930233</v>
      </c>
      <c r="P60" s="41" t="s">
        <v>300</v>
      </c>
      <c r="Q60" s="41">
        <f>Q59/100</f>
        <v>0.400254288052449</v>
      </c>
      <c r="R60" s="41">
        <f t="shared" ref="Q60:T60" si="61">R59/100</f>
        <v>1.44341532205148</v>
      </c>
      <c r="S60" s="49">
        <f t="shared" si="61"/>
        <v>0.0908630619008613</v>
      </c>
      <c r="T60">
        <f t="shared" si="61"/>
        <v>0.879188554333978</v>
      </c>
      <c r="U60" s="49">
        <f>U59/V59*(24-'倾向-优先级表'!I13)</f>
        <v>0</v>
      </c>
      <c r="X60" s="41" t="s">
        <v>301</v>
      </c>
      <c r="Y60" s="41">
        <f>Y59/100</f>
        <v>3765.44843455261</v>
      </c>
      <c r="Z60">
        <f>Z59/100</f>
        <v>0.0670410526139249</v>
      </c>
    </row>
    <row r="61" spans="15:17">
      <c r="O61">
        <f>Q59/M59</f>
        <v>4.94926051008886e-5</v>
      </c>
      <c r="P61">
        <f>R59/M59</f>
        <v>0.000178482496411143</v>
      </c>
      <c r="Q61">
        <f>S59/M59</f>
        <v>1.12354814805323e-5</v>
      </c>
    </row>
    <row r="62" spans="8:17">
      <c r="H62" t="s">
        <v>303</v>
      </c>
      <c r="I62" t="s">
        <v>304</v>
      </c>
      <c r="J62" t="s">
        <v>175</v>
      </c>
      <c r="K62" t="s">
        <v>305</v>
      </c>
      <c r="P62" t="s">
        <v>306</v>
      </c>
      <c r="Q62">
        <f>M59/V59</f>
        <v>2037.50130253895</v>
      </c>
    </row>
    <row r="63" spans="7:17">
      <c r="G63" t="s">
        <v>183</v>
      </c>
      <c r="H63">
        <f>I33*H33+I34*H34+I35*H35+I36*H36</f>
        <v>0</v>
      </c>
      <c r="I63">
        <f>I33*3+I34*6+I35*10+I36*5</f>
        <v>0</v>
      </c>
      <c r="J63">
        <v>0</v>
      </c>
      <c r="K63">
        <f>I33*O33+I34*O34+I35*O35+I36*O36</f>
        <v>0</v>
      </c>
      <c r="P63" t="s">
        <v>307</v>
      </c>
      <c r="Q63">
        <f>K59/V59</f>
        <v>2247.36401458673</v>
      </c>
    </row>
    <row r="64" spans="7:11">
      <c r="G64" t="s">
        <v>189</v>
      </c>
      <c r="H64">
        <f>H37*I37+I38*H38+H39*I39+I40*H40</f>
        <v>41.9259439438817</v>
      </c>
      <c r="I64">
        <v>0</v>
      </c>
      <c r="J64">
        <f>I37*P37+I38*P38+I39*P39+I40*P40</f>
        <v>4.77115892510649</v>
      </c>
      <c r="K64">
        <v>0</v>
      </c>
    </row>
    <row r="65" spans="7:11">
      <c r="G65" t="s">
        <v>194</v>
      </c>
      <c r="H65">
        <f>H41*I41+H42*I42+I43*H43+H44*I44</f>
        <v>0</v>
      </c>
      <c r="I65">
        <f>I44*5</f>
        <v>0</v>
      </c>
      <c r="J65">
        <f>I41*P41+I42*P42+I43*P43+I44*P44</f>
        <v>0</v>
      </c>
      <c r="K65">
        <v>0</v>
      </c>
    </row>
    <row r="66" spans="7:11">
      <c r="G66" t="s">
        <v>199</v>
      </c>
      <c r="H66">
        <f>I45*H45+H46*I46+I47*H47+H48*I48</f>
        <v>237.512872099867</v>
      </c>
      <c r="I66">
        <f>I48*5</f>
        <v>6.70410526139249</v>
      </c>
      <c r="J66">
        <f>I45*P45++I46*P46+I47*P47+I48*P48</f>
        <v>0.97380495269661</v>
      </c>
      <c r="K66">
        <f>I45*O45+I46*O46+I47*O47+I48*O48</f>
        <v>45.6715277695348</v>
      </c>
    </row>
    <row r="67" spans="7:11">
      <c r="G67" t="s">
        <v>204</v>
      </c>
      <c r="H67">
        <f>I49*H49+H50*I50+I51*H51</f>
        <v>67.485534730957</v>
      </c>
      <c r="I67">
        <v>0</v>
      </c>
      <c r="J67">
        <f>I49*P49+I50*P50+I51*P51</f>
        <v>0.424246506534374</v>
      </c>
      <c r="K67">
        <f>I49*O49+I50*O50+I51*O51</f>
        <v>2.44204632234375</v>
      </c>
    </row>
    <row r="68" spans="7:11">
      <c r="G68" t="s">
        <v>308</v>
      </c>
      <c r="H68">
        <f>H54*I54+I55*H55+H56*I56+I57*H57+H58*I58</f>
        <v>49.9908982276207</v>
      </c>
      <c r="I68">
        <v>0</v>
      </c>
      <c r="J68">
        <f>I52*P52+I53*P53+I54*P54+I55*P55+I56*P56+I57*P57+I58*P58</f>
        <v>0.111718904647117</v>
      </c>
      <c r="K68">
        <f>I52*O52+I53*O53+I54*O54+I55*O55+I56*O56+I57*O57+I58*O58</f>
        <v>0.271255517907483</v>
      </c>
    </row>
  </sheetData>
  <mergeCells count="11">
    <mergeCell ref="AC28:AD28"/>
    <mergeCell ref="D30:E30"/>
    <mergeCell ref="G31:H31"/>
    <mergeCell ref="N31:P31"/>
    <mergeCell ref="W31:X31"/>
    <mergeCell ref="I31:I32"/>
    <mergeCell ref="J31:J32"/>
    <mergeCell ref="K31:K32"/>
    <mergeCell ref="L31:L32"/>
    <mergeCell ref="M31:M32"/>
    <mergeCell ref="V31:V3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K5" workbookViewId="0">
      <selection activeCell="M1" sqref="M1"/>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6.3333333333333"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34</v>
      </c>
      <c r="B1" s="2"/>
      <c r="D1" t="s">
        <v>321</v>
      </c>
      <c r="K1" t="s">
        <v>322</v>
      </c>
    </row>
    <row r="2" ht="16.35" spans="1:19">
      <c r="A2" s="3" t="s">
        <v>171</v>
      </c>
      <c r="B2" s="4" t="s">
        <v>172</v>
      </c>
      <c r="C2" t="s">
        <v>323</v>
      </c>
      <c r="D2" t="s">
        <v>324</v>
      </c>
      <c r="E2" t="s">
        <v>325</v>
      </c>
      <c r="F2" t="s">
        <v>326</v>
      </c>
      <c r="G2" t="s">
        <v>288</v>
      </c>
      <c r="H2" t="s">
        <v>292</v>
      </c>
      <c r="I2" t="s">
        <v>299</v>
      </c>
      <c r="J2" t="s">
        <v>327</v>
      </c>
      <c r="K2" t="s">
        <v>328</v>
      </c>
      <c r="L2" t="s">
        <v>329</v>
      </c>
      <c r="M2" t="s">
        <v>299</v>
      </c>
      <c r="N2" t="s">
        <v>327</v>
      </c>
      <c r="O2" t="s">
        <v>330</v>
      </c>
      <c r="P2" t="s">
        <v>331</v>
      </c>
      <c r="Q2" t="s">
        <v>102</v>
      </c>
      <c r="R2" t="s">
        <v>332</v>
      </c>
      <c r="S2" t="s">
        <v>333</v>
      </c>
    </row>
    <row r="3" ht="15.6" spans="1:19">
      <c r="A3" s="5" t="s">
        <v>183</v>
      </c>
      <c r="B3" s="6">
        <v>1</v>
      </c>
      <c r="C3">
        <f ca="1">数据表!K39</f>
        <v>3.32027777779149</v>
      </c>
      <c r="D3">
        <f ca="1">IF(C3&gt;B3,1,0)</f>
        <v>1</v>
      </c>
      <c r="E3">
        <f ca="1">IF((C3-B3)*D3&gt;F3,1,0)</f>
        <v>0</v>
      </c>
      <c r="F3">
        <f>V60</f>
        <v>2.5</v>
      </c>
      <c r="G3">
        <f>数据表!T3*100</f>
        <v>546634.285714286</v>
      </c>
      <c r="H3">
        <f ca="1">数据表!R3+C3*1500-B3*1500</f>
        <v>9255.41666668723</v>
      </c>
      <c r="I3">
        <f ca="1">G3/H3</f>
        <v>59.0610131774804</v>
      </c>
      <c r="J3">
        <f>'倾向-优先级表'!D6</f>
        <v>163.91</v>
      </c>
      <c r="K3">
        <f ca="1">(I3-J3)*H3</f>
        <v>-970421.060122418</v>
      </c>
      <c r="L3">
        <f ca="1">H3+8000</f>
        <v>17255.4166666872</v>
      </c>
      <c r="M3">
        <f ca="1">G3/L3</f>
        <v>31.6789965883351</v>
      </c>
      <c r="N3">
        <f ca="1">G34</f>
        <v>123.068793612487</v>
      </c>
      <c r="O3">
        <f ca="1">(M3-N3)*L3</f>
        <v>-1576969.02673571</v>
      </c>
      <c r="P3">
        <f ca="1">IF(E3=1,数据表!U3,IF(D3=1,K3,O3))</f>
        <v>-970421.060122418</v>
      </c>
      <c r="Q3">
        <f ca="1">COUNTIF(P4:P29,"&gt;"&amp;P3)+1</f>
        <v>20</v>
      </c>
      <c r="R3" t="s">
        <v>164</v>
      </c>
      <c r="S3">
        <f>白天模拟!K2*10</f>
        <v>0.110961786609742</v>
      </c>
    </row>
    <row r="4" ht="15.6" spans="1:19">
      <c r="A4" s="7" t="s">
        <v>183</v>
      </c>
      <c r="B4" s="8">
        <v>2</v>
      </c>
      <c r="C4">
        <f ca="1">数据表!K39</f>
        <v>3.32027777779149</v>
      </c>
      <c r="D4">
        <f ca="1" t="shared" ref="D4:D29" si="0">IF(C4&gt;B4,1,0)</f>
        <v>1</v>
      </c>
      <c r="E4">
        <f ca="1" t="shared" ref="E4:E29" si="1">IF((C4-B4)*D4&gt;F4,1,0)</f>
        <v>0</v>
      </c>
      <c r="F4">
        <f>V60</f>
        <v>2.5</v>
      </c>
      <c r="G4">
        <f>数据表!T4*100</f>
        <v>796566.857142857</v>
      </c>
      <c r="H4">
        <f ca="1">数据表!R4+C4*1500-B4*1500</f>
        <v>13155.4166666872</v>
      </c>
      <c r="I4">
        <f ca="1" t="shared" ref="I4:I28" si="2">G4/H4</f>
        <v>60.5504848174031</v>
      </c>
      <c r="J4">
        <f>'倾向-优先级表'!D6</f>
        <v>163.91</v>
      </c>
      <c r="K4">
        <f ca="1">(I4-J4)*H4</f>
        <v>-1359737.48869385</v>
      </c>
      <c r="L4">
        <f ca="1" t="shared" ref="L4:L28" si="3">H4+8000</f>
        <v>21155.4166666872</v>
      </c>
      <c r="M4">
        <f ca="1" t="shared" ref="M4:M28" si="4">G4/L4</f>
        <v>37.653092335316</v>
      </c>
      <c r="N4">
        <f ca="1">G34</f>
        <v>123.068793612487</v>
      </c>
      <c r="O4">
        <f ca="1" t="shared" ref="O4:O28" si="5">(M4-N4)*L4</f>
        <v>-1807004.75039584</v>
      </c>
      <c r="P4">
        <f ca="1">IF(E4=1,数据表!U4,IF(D4=1,K4,O4))</f>
        <v>-1359737.48869385</v>
      </c>
      <c r="Q4">
        <f ca="1">COUNTIF(P5:P29,"&gt;"&amp;P4)+1+COUNTIF(P3:P3,"&gt;="&amp;P4)</f>
        <v>26</v>
      </c>
      <c r="R4" t="s">
        <v>170</v>
      </c>
      <c r="S4">
        <f>白天模拟!K3*10</f>
        <v>0.0735764136994257</v>
      </c>
    </row>
    <row r="5" ht="15.6" spans="1:19">
      <c r="A5" s="9" t="s">
        <v>183</v>
      </c>
      <c r="B5" s="10">
        <v>4</v>
      </c>
      <c r="C5">
        <f ca="1">数据表!K39</f>
        <v>3.32027777779149</v>
      </c>
      <c r="D5">
        <f ca="1" t="shared" si="0"/>
        <v>0</v>
      </c>
      <c r="E5">
        <f ca="1" t="shared" si="1"/>
        <v>0</v>
      </c>
      <c r="F5">
        <f>V60</f>
        <v>2.5</v>
      </c>
      <c r="G5">
        <f>数据表!T5*100</f>
        <v>1040324.57142857</v>
      </c>
      <c r="H5">
        <f ca="1">数据表!R5+C5*1500-B5*1500</f>
        <v>18355.4166666872</v>
      </c>
      <c r="I5">
        <f ca="1" t="shared" si="2"/>
        <v>56.6767069535734</v>
      </c>
      <c r="J5">
        <f>'倾向-优先级表'!D6</f>
        <v>163.91</v>
      </c>
      <c r="K5">
        <f ca="1" t="shared" ref="K4:K29" si="6">(I5-J5)*H5</f>
        <v>-1968311.77440813</v>
      </c>
      <c r="L5">
        <f ca="1" t="shared" si="3"/>
        <v>26355.4166666872</v>
      </c>
      <c r="M5">
        <f ca="1" t="shared" si="4"/>
        <v>39.472894114534</v>
      </c>
      <c r="N5">
        <f ca="1">G34</f>
        <v>123.068793612487</v>
      </c>
      <c r="O5">
        <f ca="1" t="shared" si="5"/>
        <v>-2203204.76289506</v>
      </c>
      <c r="P5">
        <f ca="1">IF(E5=1,数据表!U5,IF(D5=1,K5,O5))</f>
        <v>-2203204.76289506</v>
      </c>
      <c r="Q5">
        <f ca="1">COUNTIF(P6:P29,"&gt;"&amp;P5)+COUNTIF(P3:P4,"&gt;="&amp;P5)+1</f>
        <v>27</v>
      </c>
      <c r="R5" t="s">
        <v>182</v>
      </c>
      <c r="S5">
        <f>白天模拟!K4*10</f>
        <v>0.0164151228751833</v>
      </c>
    </row>
    <row r="6" ht="16.35" spans="1:19">
      <c r="A6" s="11" t="s">
        <v>187</v>
      </c>
      <c r="B6" s="12">
        <v>0.5</v>
      </c>
      <c r="C6">
        <f ca="1">数据表!K39</f>
        <v>3.32027777779149</v>
      </c>
      <c r="D6">
        <f ca="1" t="shared" si="0"/>
        <v>1</v>
      </c>
      <c r="E6">
        <f ca="1" t="shared" si="1"/>
        <v>1</v>
      </c>
      <c r="F6">
        <f>V60</f>
        <v>2.5</v>
      </c>
      <c r="G6">
        <f>数据表!T6*100</f>
        <v>910159.714285714</v>
      </c>
      <c r="H6">
        <f ca="1">数据表!R6+C6*1500-B6*1500</f>
        <v>11855.4166666872</v>
      </c>
      <c r="I6">
        <f ca="1" t="shared" si="2"/>
        <v>76.7716344245571</v>
      </c>
      <c r="J6">
        <f>'倾向-优先级表'!D6</f>
        <v>163.91</v>
      </c>
      <c r="K6">
        <f ca="1" t="shared" si="6"/>
        <v>-1033061.63155099</v>
      </c>
      <c r="L6">
        <f ca="1" t="shared" si="3"/>
        <v>19855.4166666872</v>
      </c>
      <c r="M6">
        <f ca="1" t="shared" si="4"/>
        <v>45.8393661319004</v>
      </c>
      <c r="N6">
        <f ca="1">G34</f>
        <v>123.068793612487</v>
      </c>
      <c r="O6">
        <f ca="1" t="shared" si="5"/>
        <v>-1533422.46155675</v>
      </c>
      <c r="P6">
        <f ca="1">IF(E6=1,数据表!U6,IF(D6=1,K6,O6))</f>
        <v>-339654.035714288</v>
      </c>
      <c r="Q6">
        <f ca="1">COUNTIF(P7:P29,"&gt;"&amp;P6)+COUNTIF(P3:P5,"&gt;="&amp;P6)+1</f>
        <v>6</v>
      </c>
      <c r="R6" t="s">
        <v>184</v>
      </c>
      <c r="S6">
        <f>白天模拟!K5*10</f>
        <v>0.00122210728681568</v>
      </c>
    </row>
    <row r="7" ht="15.6" spans="1:19">
      <c r="A7" s="13" t="s">
        <v>189</v>
      </c>
      <c r="B7" s="14">
        <v>1</v>
      </c>
      <c r="C7">
        <f ca="1">数据表!K39</f>
        <v>3.32027777779149</v>
      </c>
      <c r="D7">
        <f ca="1" t="shared" si="0"/>
        <v>1</v>
      </c>
      <c r="E7">
        <f ca="1" t="shared" si="1"/>
        <v>0</v>
      </c>
      <c r="F7">
        <f>V60</f>
        <v>2.5</v>
      </c>
      <c r="G7">
        <f>数据表!T7*100</f>
        <v>236674.285714286</v>
      </c>
      <c r="H7">
        <f ca="1">数据表!R7+C7*1500-B7*1500</f>
        <v>5355.41666668723</v>
      </c>
      <c r="I7">
        <f ca="1" t="shared" si="2"/>
        <v>44.1934401083097</v>
      </c>
      <c r="J7">
        <f>'倾向-优先级表'!D6</f>
        <v>163.91</v>
      </c>
      <c r="K7">
        <f ca="1" t="shared" si="6"/>
        <v>-641132.060122418</v>
      </c>
      <c r="L7">
        <f ca="1" t="shared" si="3"/>
        <v>13355.4166666872</v>
      </c>
      <c r="M7">
        <f ca="1" t="shared" si="4"/>
        <v>17.7212206568312</v>
      </c>
      <c r="N7">
        <f ca="1">G34</f>
        <v>123.068793612487</v>
      </c>
      <c r="O7">
        <f ca="1" t="shared" si="5"/>
        <v>-1406960.73164701</v>
      </c>
      <c r="P7">
        <f ca="1">IF(E7=1,数据表!U7,IF(D7=1,K7,O7))</f>
        <v>-641132.060122418</v>
      </c>
      <c r="Q7">
        <f ca="1">COUNTIF(P8:P29,"&gt;"&amp;P7)+COUNTIF(P3:P6,"&gt;="&amp;P7)+1</f>
        <v>12</v>
      </c>
      <c r="R7" t="s">
        <v>185</v>
      </c>
      <c r="S7">
        <f>白天模拟!K6*10</f>
        <v>0.088130600478776</v>
      </c>
    </row>
    <row r="8" ht="15.6" spans="1:19">
      <c r="A8" s="15" t="s">
        <v>189</v>
      </c>
      <c r="B8" s="16">
        <v>2</v>
      </c>
      <c r="C8">
        <f ca="1">数据表!K39</f>
        <v>3.32027777779149</v>
      </c>
      <c r="D8">
        <f ca="1" t="shared" si="0"/>
        <v>1</v>
      </c>
      <c r="E8">
        <f ca="1" t="shared" si="1"/>
        <v>0</v>
      </c>
      <c r="F8">
        <f>V60</f>
        <v>2.5</v>
      </c>
      <c r="G8">
        <f>数据表!T8*100</f>
        <v>427834.285714286</v>
      </c>
      <c r="H8">
        <f ca="1">数据表!R8+C8*1500-B8*1500</f>
        <v>5355.41666668723</v>
      </c>
      <c r="I8">
        <f ca="1" t="shared" si="2"/>
        <v>79.8881417342522</v>
      </c>
      <c r="J8">
        <f>'倾向-优先级表'!D6</f>
        <v>163.91</v>
      </c>
      <c r="K8">
        <f ca="1" t="shared" si="6"/>
        <v>-449972.060122418</v>
      </c>
      <c r="L8">
        <f ca="1" t="shared" si="3"/>
        <v>13355.4166666872</v>
      </c>
      <c r="M8">
        <f ca="1" t="shared" si="4"/>
        <v>32.0345142642718</v>
      </c>
      <c r="N8">
        <f ca="1">G34</f>
        <v>123.068793612487</v>
      </c>
      <c r="O8">
        <f ca="1" t="shared" si="5"/>
        <v>-1215800.73164701</v>
      </c>
      <c r="P8">
        <f ca="1">IF(E8=1,数据表!U8,IF(D8=1,K8,O8))</f>
        <v>-449972.060122418</v>
      </c>
      <c r="Q8">
        <f ca="1">COUNTIF(P9:P29,"&gt;"&amp;P8)+COUNTIF(P3:P7,"&gt;="&amp;P8)+1</f>
        <v>7</v>
      </c>
      <c r="R8" t="s">
        <v>186</v>
      </c>
      <c r="S8">
        <f>白天模拟!K7*10</f>
        <v>0.0441069629878023</v>
      </c>
    </row>
    <row r="9" ht="15.6" spans="1:19">
      <c r="A9" s="7" t="s">
        <v>189</v>
      </c>
      <c r="B9" s="8">
        <v>4</v>
      </c>
      <c r="C9">
        <f ca="1">数据表!K39</f>
        <v>3.32027777779149</v>
      </c>
      <c r="D9">
        <f ca="1" t="shared" si="0"/>
        <v>0</v>
      </c>
      <c r="E9">
        <f ca="1" t="shared" si="1"/>
        <v>0</v>
      </c>
      <c r="F9">
        <f>V60</f>
        <v>2.5</v>
      </c>
      <c r="G9">
        <f>数据表!T9*100</f>
        <v>928491.428571429</v>
      </c>
      <c r="H9">
        <f ca="1">数据表!R9+C9*1500-B9*1500</f>
        <v>5355.41666668723</v>
      </c>
      <c r="I9">
        <f ca="1" t="shared" si="2"/>
        <v>173.374265040292</v>
      </c>
      <c r="J9">
        <f>'倾向-优先级表'!D6</f>
        <v>163.91</v>
      </c>
      <c r="K9">
        <f ca="1" t="shared" si="6"/>
        <v>50685.0827347246</v>
      </c>
      <c r="L9">
        <f ca="1" t="shared" si="3"/>
        <v>13355.4166666872</v>
      </c>
      <c r="M9">
        <f ca="1" t="shared" si="4"/>
        <v>69.5217118075686</v>
      </c>
      <c r="N9">
        <f ca="1">G34</f>
        <v>123.068793612487</v>
      </c>
      <c r="O9">
        <f ca="1" t="shared" si="5"/>
        <v>-715143.588789868</v>
      </c>
      <c r="P9">
        <f ca="1">IF(E9=1,数据表!U9,IF(D9=1,K9,O9))</f>
        <v>-715143.588789868</v>
      </c>
      <c r="Q9">
        <f ca="1">COUNTIF(P10:P29,"&gt;"&amp;P9)+COUNTIF(P3:P8,"&gt;="&amp;P9)+1</f>
        <v>16</v>
      </c>
      <c r="R9" t="s">
        <v>188</v>
      </c>
      <c r="S9">
        <f>白天模拟!K8*10</f>
        <v>0.0239144175897341</v>
      </c>
    </row>
    <row r="10" ht="16.35" spans="1:19">
      <c r="A10" s="17" t="s">
        <v>189</v>
      </c>
      <c r="B10" s="18">
        <v>0.5</v>
      </c>
      <c r="C10">
        <f ca="1">数据表!K39</f>
        <v>3.32027777779149</v>
      </c>
      <c r="D10">
        <f ca="1" t="shared" si="0"/>
        <v>1</v>
      </c>
      <c r="E10">
        <f ca="1" t="shared" si="1"/>
        <v>1</v>
      </c>
      <c r="F10">
        <f>V60</f>
        <v>2.5</v>
      </c>
      <c r="G10">
        <f>数据表!T10*100</f>
        <v>1856982.85714286</v>
      </c>
      <c r="H10">
        <f ca="1">数据表!R10+C10*1500-B10*1500</f>
        <v>5355.41666668723</v>
      </c>
      <c r="I10">
        <f ca="1" t="shared" si="2"/>
        <v>346.748530080584</v>
      </c>
      <c r="J10">
        <f>'倾向-优先级表'!D6</f>
        <v>163.91</v>
      </c>
      <c r="K10">
        <f ca="1" t="shared" si="6"/>
        <v>979176.511306156</v>
      </c>
      <c r="L10">
        <f ca="1" t="shared" si="3"/>
        <v>13355.4166666872</v>
      </c>
      <c r="M10">
        <f ca="1" t="shared" si="4"/>
        <v>139.043423615137</v>
      </c>
      <c r="N10">
        <f ca="1">G34</f>
        <v>123.068793612487</v>
      </c>
      <c r="O10">
        <f ca="1" t="shared" si="5"/>
        <v>213347.839781563</v>
      </c>
      <c r="P10">
        <f ca="1">IF(E10=1,数据表!U10,IF(D10=1,K10,O10))</f>
        <v>1672584.10714286</v>
      </c>
      <c r="Q10">
        <f ca="1">COUNTIF(P11:P29,"&gt;"&amp;P10)+COUNTIF(P3:P9,"&gt;="&amp;P10)+1</f>
        <v>1</v>
      </c>
      <c r="R10" t="s">
        <v>190</v>
      </c>
      <c r="S10">
        <f>白天模拟!K9*10</f>
        <v>0.0121655225369379</v>
      </c>
    </row>
    <row r="11" ht="15.6" spans="1:19">
      <c r="A11" s="19" t="s">
        <v>194</v>
      </c>
      <c r="B11" s="6">
        <v>2.5</v>
      </c>
      <c r="C11">
        <f ca="1">数据表!K39</f>
        <v>3.32027777779149</v>
      </c>
      <c r="D11">
        <f ca="1" t="shared" si="0"/>
        <v>1</v>
      </c>
      <c r="E11">
        <f ca="1" t="shared" si="1"/>
        <v>0</v>
      </c>
      <c r="F11">
        <f>V60</f>
        <v>2.5</v>
      </c>
      <c r="G11">
        <f>数据表!T11*100</f>
        <v>391928.571428571</v>
      </c>
      <c r="H11">
        <f ca="1">数据表!R11+C11*1500-B11*1500</f>
        <v>5355.41666668723</v>
      </c>
      <c r="I11">
        <f ca="1" t="shared" si="2"/>
        <v>73.1835813759401</v>
      </c>
      <c r="J11">
        <f>'倾向-优先级表'!D6</f>
        <v>163.91</v>
      </c>
      <c r="K11">
        <f ca="1" t="shared" si="6"/>
        <v>-485877.774408133</v>
      </c>
      <c r="L11">
        <f ca="1" t="shared" si="3"/>
        <v>13355.4166666872</v>
      </c>
      <c r="M11">
        <f ca="1" t="shared" si="4"/>
        <v>29.3460384808636</v>
      </c>
      <c r="N11">
        <f ca="1">G34</f>
        <v>123.068793612487</v>
      </c>
      <c r="O11">
        <f ca="1" t="shared" si="5"/>
        <v>-1251706.44593273</v>
      </c>
      <c r="P11">
        <f ca="1">IF(E11=1,数据表!U11,IF(D11=1,K11,O11))</f>
        <v>-485877.774408133</v>
      </c>
      <c r="Q11">
        <f ca="1">COUNTIF(P12:P29,"&gt;"&amp;P11)+COUNTIF(P3:P10,"&gt;="&amp;P11)+1</f>
        <v>8</v>
      </c>
      <c r="R11" t="s">
        <v>191</v>
      </c>
      <c r="S11">
        <f>白天模拟!K10*10</f>
        <v>0</v>
      </c>
    </row>
    <row r="12" ht="15.6" spans="1:19">
      <c r="A12" s="7" t="s">
        <v>194</v>
      </c>
      <c r="B12" s="8">
        <v>5</v>
      </c>
      <c r="C12">
        <f ca="1">数据表!K39</f>
        <v>3.32027777779149</v>
      </c>
      <c r="D12">
        <f ca="1" t="shared" si="0"/>
        <v>0</v>
      </c>
      <c r="E12">
        <f ca="1" t="shared" si="1"/>
        <v>0</v>
      </c>
      <c r="F12">
        <f>V60</f>
        <v>2.5</v>
      </c>
      <c r="G12">
        <f>数据表!T12*100</f>
        <v>606857.142857143</v>
      </c>
      <c r="H12">
        <f ca="1">数据表!R12+C12*1500-B12*1500</f>
        <v>5355.41666668723</v>
      </c>
      <c r="I12">
        <f ca="1" t="shared" si="2"/>
        <v>113.31651309823</v>
      </c>
      <c r="J12">
        <f>'倾向-优先级表'!D6</f>
        <v>163.91</v>
      </c>
      <c r="K12">
        <f ca="1" t="shared" si="6"/>
        <v>-270949.202979561</v>
      </c>
      <c r="L12">
        <f ca="1" t="shared" si="3"/>
        <v>13355.4166666872</v>
      </c>
      <c r="M12">
        <f ca="1" t="shared" si="4"/>
        <v>45.4390273252083</v>
      </c>
      <c r="N12">
        <f ca="1">G34</f>
        <v>123.068793612487</v>
      </c>
      <c r="O12">
        <f ca="1" t="shared" si="5"/>
        <v>-1036777.87450415</v>
      </c>
      <c r="P12">
        <f ca="1">IF(E12=1,数据表!U12,IF(D12=1,K12,O12))</f>
        <v>-1036777.87450415</v>
      </c>
      <c r="Q12">
        <f ca="1">COUNTIF(P13:P29,"&gt;"&amp;P12)+COUNTIF(P3:P11,"&gt;="&amp;P12)+1</f>
        <v>23</v>
      </c>
      <c r="R12" t="s">
        <v>192</v>
      </c>
      <c r="S12">
        <f>白天模拟!K11*10</f>
        <v>0</v>
      </c>
    </row>
    <row r="13" ht="15.6" spans="1:19">
      <c r="A13" s="9" t="s">
        <v>194</v>
      </c>
      <c r="B13" s="10">
        <v>8</v>
      </c>
      <c r="C13">
        <f ca="1">数据表!K39</f>
        <v>3.32027777779149</v>
      </c>
      <c r="D13">
        <f ca="1" t="shared" si="0"/>
        <v>0</v>
      </c>
      <c r="E13">
        <f ca="1" t="shared" si="1"/>
        <v>0</v>
      </c>
      <c r="F13">
        <f>V60</f>
        <v>2.5</v>
      </c>
      <c r="G13">
        <f>数据表!T13*100</f>
        <v>1007382.85714286</v>
      </c>
      <c r="H13">
        <f ca="1">数据表!R13+C13*1500-B13*1500</f>
        <v>5355.41666668723</v>
      </c>
      <c r="I13">
        <f ca="1" t="shared" si="2"/>
        <v>188.105411743062</v>
      </c>
      <c r="J13">
        <f>'倾向-优先级表'!D6</f>
        <v>163.91</v>
      </c>
      <c r="K13">
        <f ca="1" t="shared" si="6"/>
        <v>129576.511306156</v>
      </c>
      <c r="L13">
        <f ca="1" t="shared" si="3"/>
        <v>13355.4166666872</v>
      </c>
      <c r="M13">
        <f ca="1" t="shared" si="4"/>
        <v>75.4287853598459</v>
      </c>
      <c r="N13">
        <f ca="1">G34</f>
        <v>123.068793612487</v>
      </c>
      <c r="O13">
        <f ca="1" t="shared" si="5"/>
        <v>-636252.160218437</v>
      </c>
      <c r="P13">
        <f ca="1">IF(E13=1,数据表!U13,IF(D13=1,K13,O13))</f>
        <v>-636252.160218437</v>
      </c>
      <c r="Q13">
        <f ca="1">COUNTIF(P14:P29,"&gt;"&amp;P13)+COUNTIF(P3:P12,"&gt;="&amp;P13)+1</f>
        <v>11</v>
      </c>
      <c r="R13" t="s">
        <v>193</v>
      </c>
      <c r="S13">
        <f>白天模拟!K12*10</f>
        <v>0</v>
      </c>
    </row>
    <row r="14" ht="15.6" spans="1:19">
      <c r="A14" s="9" t="s">
        <v>194</v>
      </c>
      <c r="B14" s="10">
        <v>0.5</v>
      </c>
      <c r="C14">
        <f ca="1">数据表!K39</f>
        <v>3.32027777779149</v>
      </c>
      <c r="D14">
        <f ca="1" t="shared" si="0"/>
        <v>1</v>
      </c>
      <c r="E14">
        <f ca="1" t="shared" si="1"/>
        <v>1</v>
      </c>
      <c r="F14">
        <f>V60</f>
        <v>2.5</v>
      </c>
      <c r="G14">
        <f>数据表!T14*100</f>
        <v>1459491.42857143</v>
      </c>
      <c r="H14">
        <f ca="1">数据表!R14+C14*1500-B14*1500</f>
        <v>11855.4166666872</v>
      </c>
      <c r="I14">
        <f ca="1" t="shared" si="2"/>
        <v>123.107560839467</v>
      </c>
      <c r="J14">
        <f>'倾向-优先级表'!D6</f>
        <v>163.91</v>
      </c>
      <c r="K14">
        <f ca="1" t="shared" si="6"/>
        <v>-483729.917265274</v>
      </c>
      <c r="L14">
        <f ca="1" t="shared" si="3"/>
        <v>19855.4166666872</v>
      </c>
      <c r="M14">
        <f ca="1" t="shared" si="4"/>
        <v>73.5059582516904</v>
      </c>
      <c r="N14">
        <f ca="1">G34</f>
        <v>123.068793612487</v>
      </c>
      <c r="O14">
        <f ca="1" t="shared" si="5"/>
        <v>-984090.747271031</v>
      </c>
      <c r="P14">
        <f ca="1">IF(E14=1,数据表!U14,IF(D14=1,K14,O14))</f>
        <v>209677.678571429</v>
      </c>
      <c r="Q14">
        <f ca="1">COUNTIF(P15:P29,"&gt;"&amp;P14)+COUNTIF(P3:P13,"&gt;="&amp;P14)+1</f>
        <v>3</v>
      </c>
      <c r="R14" t="s">
        <v>195</v>
      </c>
      <c r="S14">
        <f>白天模拟!K13*10</f>
        <v>0</v>
      </c>
    </row>
    <row r="15" ht="15.6" spans="1:19">
      <c r="A15" s="15" t="s">
        <v>199</v>
      </c>
      <c r="B15" s="16">
        <v>2.5</v>
      </c>
      <c r="C15">
        <f ca="1">数据表!K39</f>
        <v>3.32027777779149</v>
      </c>
      <c r="D15">
        <f ca="1" t="shared" si="0"/>
        <v>1</v>
      </c>
      <c r="E15">
        <f ca="1" t="shared" si="1"/>
        <v>0</v>
      </c>
      <c r="F15">
        <f>V60</f>
        <v>2.5</v>
      </c>
      <c r="G15">
        <f>数据表!T15*100</f>
        <v>622028.571428571</v>
      </c>
      <c r="H15">
        <f ca="1">数据表!R15+C15*1500-B15*1500</f>
        <v>5355.41666668723</v>
      </c>
      <c r="I15">
        <f ca="1" t="shared" si="2"/>
        <v>116.149425925686</v>
      </c>
      <c r="J15">
        <f>'倾向-优先级表'!D6</f>
        <v>163.91</v>
      </c>
      <c r="K15">
        <f ca="1" t="shared" si="6"/>
        <v>-255777.774408133</v>
      </c>
      <c r="L15">
        <f ca="1" t="shared" si="3"/>
        <v>13355.4166666872</v>
      </c>
      <c r="M15">
        <f ca="1" t="shared" si="4"/>
        <v>46.5750030083384</v>
      </c>
      <c r="N15">
        <f ca="1">G34</f>
        <v>123.068793612487</v>
      </c>
      <c r="O15">
        <f ca="1" t="shared" si="5"/>
        <v>-1021606.44593273</v>
      </c>
      <c r="P15">
        <f ca="1">IF(E15=1,数据表!U15,IF(D15=1,K15,O15))</f>
        <v>-255777.774408133</v>
      </c>
      <c r="Q15">
        <f ca="1">COUNTIF(P16:P29,"&gt;"&amp;P15)+COUNTIF(P3:P14,"&gt;="&amp;P15)+1</f>
        <v>5</v>
      </c>
      <c r="R15" t="s">
        <v>196</v>
      </c>
      <c r="S15">
        <f>白天模拟!K14*10</f>
        <v>0.120694360024834</v>
      </c>
    </row>
    <row r="16" ht="15.6" spans="1:19">
      <c r="A16" s="7" t="s">
        <v>199</v>
      </c>
      <c r="B16" s="8">
        <v>5</v>
      </c>
      <c r="C16">
        <f ca="1">数据表!K39</f>
        <v>3.32027777779149</v>
      </c>
      <c r="D16">
        <f ca="1" t="shared" si="0"/>
        <v>0</v>
      </c>
      <c r="E16">
        <f ca="1" t="shared" si="1"/>
        <v>0</v>
      </c>
      <c r="F16">
        <f>V60</f>
        <v>2.5</v>
      </c>
      <c r="G16">
        <f>数据表!T16*100</f>
        <v>1001314.28571429</v>
      </c>
      <c r="H16">
        <f ca="1">数据表!R16+C16*1500-B16*1500</f>
        <v>5355.41666668723</v>
      </c>
      <c r="I16">
        <f ca="1" t="shared" si="2"/>
        <v>186.97224661208</v>
      </c>
      <c r="J16">
        <f>'倾向-优先级表'!D6</f>
        <v>163.91</v>
      </c>
      <c r="K16">
        <f ca="1" t="shared" si="6"/>
        <v>123507.939877586</v>
      </c>
      <c r="L16">
        <f ca="1" t="shared" si="3"/>
        <v>13355.4166666872</v>
      </c>
      <c r="M16">
        <f ca="1" t="shared" si="4"/>
        <v>74.9743950865939</v>
      </c>
      <c r="N16">
        <f ca="1">G34</f>
        <v>123.068793612487</v>
      </c>
      <c r="O16">
        <f ca="1" t="shared" si="5"/>
        <v>-642320.731647007</v>
      </c>
      <c r="P16">
        <f ca="1">IF(E16=1,数据表!U16,IF(D16=1,K16,O16))</f>
        <v>-642320.731647007</v>
      </c>
      <c r="Q16">
        <f ca="1">COUNTIF(P17:P29,"&gt;"&amp;P16)+COUNTIF(P3:P15,"&gt;="&amp;P16)+1</f>
        <v>13</v>
      </c>
      <c r="R16" t="s">
        <v>197</v>
      </c>
      <c r="S16">
        <f>白天模拟!K15*10</f>
        <v>0.0760697689506738</v>
      </c>
    </row>
    <row r="17" ht="15.6" spans="1:19">
      <c r="A17" s="9" t="s">
        <v>199</v>
      </c>
      <c r="B17" s="10">
        <v>8</v>
      </c>
      <c r="C17">
        <f ca="1">数据表!K39</f>
        <v>3.32027777779149</v>
      </c>
      <c r="D17">
        <f ca="1" t="shared" si="0"/>
        <v>0</v>
      </c>
      <c r="E17">
        <f ca="1" t="shared" si="1"/>
        <v>0</v>
      </c>
      <c r="F17">
        <f>V60</f>
        <v>2.5</v>
      </c>
      <c r="G17">
        <f>数据表!T17*100</f>
        <v>1638514.28571429</v>
      </c>
      <c r="H17">
        <f ca="1">数据表!R17+C17*1500-B17*1500</f>
        <v>5355.41666668723</v>
      </c>
      <c r="I17">
        <f ca="1" t="shared" si="2"/>
        <v>305.954585365222</v>
      </c>
      <c r="J17">
        <f>'倾向-优先级表'!D6</f>
        <v>163.91</v>
      </c>
      <c r="K17">
        <f ca="1" t="shared" si="6"/>
        <v>760707.939877586</v>
      </c>
      <c r="L17">
        <f ca="1" t="shared" si="3"/>
        <v>13355.4166666872</v>
      </c>
      <c r="M17">
        <f ca="1" t="shared" si="4"/>
        <v>122.685373778063</v>
      </c>
      <c r="N17">
        <f ca="1">G34</f>
        <v>123.068793612487</v>
      </c>
      <c r="O17">
        <f ca="1" t="shared" si="5"/>
        <v>-5120.73164700726</v>
      </c>
      <c r="P17">
        <f ca="1">IF(E17=1,数据表!U17,IF(D17=1,K17,O17))</f>
        <v>-5120.73164700726</v>
      </c>
      <c r="Q17">
        <f ca="1">COUNTIF(P18:P29,"&gt;"&amp;P17)+COUNTIF(P3:P16,"&gt;="&amp;P17)+1</f>
        <v>4</v>
      </c>
      <c r="R17" t="s">
        <v>198</v>
      </c>
      <c r="S17">
        <f>白天模拟!K16*10</f>
        <v>0.0179400377367202</v>
      </c>
    </row>
    <row r="18" ht="16.35" spans="1:19">
      <c r="A18" s="20" t="s">
        <v>199</v>
      </c>
      <c r="B18" s="21">
        <v>0.5</v>
      </c>
      <c r="C18">
        <f ca="1">数据表!K39</f>
        <v>3.32027777779149</v>
      </c>
      <c r="D18">
        <f ca="1" t="shared" si="0"/>
        <v>1</v>
      </c>
      <c r="E18">
        <f ca="1" t="shared" si="1"/>
        <v>1</v>
      </c>
      <c r="F18">
        <f>V60</f>
        <v>2.5</v>
      </c>
      <c r="G18">
        <f>数据表!T18*100</f>
        <v>2354605.71428571</v>
      </c>
      <c r="H18">
        <f ca="1">数据表!R18+C18*1500-B18*1500</f>
        <v>11855.4166666872</v>
      </c>
      <c r="I18">
        <f ca="1" t="shared" si="2"/>
        <v>198.610118942674</v>
      </c>
      <c r="J18">
        <f>'倾向-优先级表'!D6</f>
        <v>163.91</v>
      </c>
      <c r="K18">
        <f ca="1" t="shared" si="6"/>
        <v>411384.368449005</v>
      </c>
      <c r="L18">
        <f ca="1" t="shared" si="3"/>
        <v>19855.4166666872</v>
      </c>
      <c r="M18">
        <f ca="1" t="shared" si="4"/>
        <v>118.58757505886</v>
      </c>
      <c r="N18">
        <f ca="1">G34</f>
        <v>123.068793612487</v>
      </c>
      <c r="O18">
        <f ca="1" t="shared" si="5"/>
        <v>-88976.4615567517</v>
      </c>
      <c r="P18">
        <f ca="1">IF(E18=1,数据表!U18,IF(D18=1,K18,O18))</f>
        <v>1104791.96428572</v>
      </c>
      <c r="Q18">
        <f ca="1">COUNTIF(P19:P29,"&gt;"&amp;P18)+COUNTIF(P3:P17,"&gt;="&amp;P18)+1</f>
        <v>2</v>
      </c>
      <c r="R18" t="s">
        <v>200</v>
      </c>
      <c r="S18">
        <f>白天模拟!K17*10</f>
        <v>0.00323221350284484</v>
      </c>
    </row>
    <row r="19" ht="15.6" spans="1:19">
      <c r="A19" s="13" t="s">
        <v>204</v>
      </c>
      <c r="B19" s="14">
        <v>1.5</v>
      </c>
      <c r="C19">
        <f ca="1">数据表!K39</f>
        <v>3.32027777779149</v>
      </c>
      <c r="D19">
        <f ca="1" t="shared" si="0"/>
        <v>1</v>
      </c>
      <c r="E19">
        <f ca="1" t="shared" si="1"/>
        <v>0</v>
      </c>
      <c r="F19">
        <f>V60</f>
        <v>2.5</v>
      </c>
      <c r="G19">
        <f>数据表!T19*100</f>
        <v>265500</v>
      </c>
      <c r="H19">
        <f ca="1">数据表!R19+C19*1500-B19*1500</f>
        <v>5355.41666668723</v>
      </c>
      <c r="I19">
        <f ca="1" t="shared" si="2"/>
        <v>49.5759744804756</v>
      </c>
      <c r="J19">
        <f>'倾向-优先级表'!D6</f>
        <v>163.91</v>
      </c>
      <c r="K19">
        <f ca="1" t="shared" si="6"/>
        <v>-612306.345836704</v>
      </c>
      <c r="L19">
        <f ca="1" t="shared" si="3"/>
        <v>13355.4166666872</v>
      </c>
      <c r="M19">
        <f ca="1" t="shared" si="4"/>
        <v>19.8795744547786</v>
      </c>
      <c r="N19">
        <f ca="1">G34</f>
        <v>123.068793612487</v>
      </c>
      <c r="O19">
        <f ca="1" t="shared" si="5"/>
        <v>-1378135.0173613</v>
      </c>
      <c r="P19">
        <f ca="1">IF(E19=1,数据表!U19,IF(D19=1,K19,O19))</f>
        <v>-612306.345836704</v>
      </c>
      <c r="Q19">
        <f ca="1">COUNTIF(P20:P29,"&gt;"&amp;P19)+COUNTIF(P3:P18,"&gt;="&amp;P19)+1</f>
        <v>10</v>
      </c>
      <c r="R19" t="s">
        <v>201</v>
      </c>
      <c r="S19">
        <f>白天模拟!K18*10</f>
        <v>0.0954354690340606</v>
      </c>
    </row>
    <row r="20" ht="15.6" spans="1:19">
      <c r="A20" s="15" t="s">
        <v>204</v>
      </c>
      <c r="B20" s="16">
        <v>2.5</v>
      </c>
      <c r="C20">
        <f ca="1">数据表!K39</f>
        <v>3.32027777779149</v>
      </c>
      <c r="D20">
        <f ca="1" t="shared" si="0"/>
        <v>1</v>
      </c>
      <c r="E20">
        <f ca="1" t="shared" si="1"/>
        <v>0</v>
      </c>
      <c r="F20">
        <f>V60</f>
        <v>2.5</v>
      </c>
      <c r="G20">
        <f>数据表!T20*100</f>
        <v>348942.857142857</v>
      </c>
      <c r="H20">
        <f ca="1">数据表!R20+C20*1500-B20*1500</f>
        <v>5355.41666668723</v>
      </c>
      <c r="I20">
        <f ca="1" t="shared" si="2"/>
        <v>65.1569950314822</v>
      </c>
      <c r="J20">
        <f>'倾向-优先级表'!D6</f>
        <v>163.91</v>
      </c>
      <c r="K20">
        <f ca="1" t="shared" si="6"/>
        <v>-528863.488693847</v>
      </c>
      <c r="L20">
        <f ca="1" t="shared" si="3"/>
        <v>13355.4166666872</v>
      </c>
      <c r="M20">
        <f ca="1" t="shared" si="4"/>
        <v>26.1274407119947</v>
      </c>
      <c r="N20">
        <f ca="1">G34</f>
        <v>123.068793612487</v>
      </c>
      <c r="O20">
        <f ca="1" t="shared" si="5"/>
        <v>-1294692.16021844</v>
      </c>
      <c r="P20">
        <f ca="1">IF(E20=1,数据表!U20,IF(D20=1,K20,O20))</f>
        <v>-528863.488693847</v>
      </c>
      <c r="Q20">
        <f ca="1">COUNTIF(P21:P29,"&gt;"&amp;P20)+COUNTIF(P3:P19,"&gt;="&amp;P20)+1</f>
        <v>9</v>
      </c>
      <c r="R20" s="30" t="s">
        <v>202</v>
      </c>
      <c r="S20">
        <f>白天模拟!K19*10</f>
        <v>0.0651605385197631</v>
      </c>
    </row>
    <row r="21" ht="16.35" spans="1:19">
      <c r="A21" s="22" t="s">
        <v>204</v>
      </c>
      <c r="B21" s="23">
        <v>4</v>
      </c>
      <c r="C21">
        <f ca="1">数据表!K39</f>
        <v>3.32027777779149</v>
      </c>
      <c r="D21">
        <f ca="1" t="shared" si="0"/>
        <v>0</v>
      </c>
      <c r="E21">
        <f ca="1" t="shared" si="1"/>
        <v>0</v>
      </c>
      <c r="F21">
        <f>V60</f>
        <v>2.5</v>
      </c>
      <c r="G21">
        <f>数据表!T21*100</f>
        <v>853645.714285714</v>
      </c>
      <c r="H21">
        <f ca="1">数据表!R21+C21*1500-B21*1500</f>
        <v>5355.41666668723</v>
      </c>
      <c r="I21">
        <f ca="1" t="shared" si="2"/>
        <v>159.398561758177</v>
      </c>
      <c r="J21">
        <f>'倾向-优先级表'!D6</f>
        <v>163.91</v>
      </c>
      <c r="K21">
        <f ca="1" t="shared" si="6"/>
        <v>-24160.6315509905</v>
      </c>
      <c r="L21">
        <f ca="1" t="shared" si="3"/>
        <v>13355.4166666872</v>
      </c>
      <c r="M21">
        <f ca="1" t="shared" si="4"/>
        <v>63.9175651041262</v>
      </c>
      <c r="N21">
        <f ca="1">G34</f>
        <v>123.068793612487</v>
      </c>
      <c r="O21">
        <f ca="1" t="shared" si="5"/>
        <v>-789989.303075583</v>
      </c>
      <c r="P21">
        <f ca="1">IF(E21=1,数据表!U21,IF(D21=1,K21,O21))</f>
        <v>-789989.303075583</v>
      </c>
      <c r="Q21">
        <f ca="1">COUNTIF(P22:P29,"&gt;"&amp;P21)+COUNTIF(P3:P20,"&gt;="&amp;P21)+1</f>
        <v>18</v>
      </c>
      <c r="R21" t="s">
        <v>203</v>
      </c>
      <c r="S21">
        <f>白天模拟!K20*10</f>
        <v>0.0498008719377387</v>
      </c>
    </row>
    <row r="22" ht="15.6" spans="1:19">
      <c r="A22" s="19" t="s">
        <v>208</v>
      </c>
      <c r="B22" s="6">
        <v>2</v>
      </c>
      <c r="C22">
        <f ca="1">数据表!K39</f>
        <v>3.32027777779149</v>
      </c>
      <c r="D22">
        <f ca="1" t="shared" si="0"/>
        <v>1</v>
      </c>
      <c r="E22">
        <f ca="1" t="shared" si="1"/>
        <v>0</v>
      </c>
      <c r="F22">
        <f>V60</f>
        <v>2.5</v>
      </c>
      <c r="G22">
        <f>数据表!T22*100</f>
        <v>163851.428571429</v>
      </c>
      <c r="H22">
        <f ca="1">数据表!R22+C22*1500-B22*1500</f>
        <v>5355.41666668723</v>
      </c>
      <c r="I22">
        <f ca="1" t="shared" si="2"/>
        <v>30.5954585365222</v>
      </c>
      <c r="J22">
        <f>'倾向-优先级表'!D6</f>
        <v>163.91</v>
      </c>
      <c r="K22">
        <f ca="1" t="shared" si="6"/>
        <v>-713954.917265275</v>
      </c>
      <c r="L22">
        <f ca="1" t="shared" si="3"/>
        <v>13355.4166666872</v>
      </c>
      <c r="M22">
        <f ca="1" t="shared" si="4"/>
        <v>12.2685373778063</v>
      </c>
      <c r="N22">
        <f ca="1">G34</f>
        <v>123.068793612487</v>
      </c>
      <c r="O22">
        <f ca="1" t="shared" si="5"/>
        <v>-1479783.58878987</v>
      </c>
      <c r="P22">
        <f ca="1">IF(E22=1,数据表!U22,IF(D22=1,K22,O22))</f>
        <v>-713954.917265275</v>
      </c>
      <c r="Q22">
        <f ca="1">COUNTIF(P23:P29,"&gt;"&amp;P22)+COUNTIF(P3:P21,"&gt;="&amp;P22)+1</f>
        <v>15</v>
      </c>
      <c r="R22" t="s">
        <v>205</v>
      </c>
      <c r="S22">
        <f>白天模拟!K21*10</f>
        <v>0.0196925924170981</v>
      </c>
    </row>
    <row r="23" ht="16.35" spans="1:19">
      <c r="A23" s="24" t="s">
        <v>208</v>
      </c>
      <c r="B23" s="25">
        <v>2</v>
      </c>
      <c r="C23">
        <f ca="1">数据表!K39</f>
        <v>3.32027777779149</v>
      </c>
      <c r="D23">
        <f ca="1" t="shared" si="0"/>
        <v>1</v>
      </c>
      <c r="E23">
        <f ca="1" t="shared" si="1"/>
        <v>0</v>
      </c>
      <c r="F23">
        <f>V60</f>
        <v>2.5</v>
      </c>
      <c r="G23">
        <f>数据表!T23*100</f>
        <v>191160</v>
      </c>
      <c r="H23">
        <f ca="1">数据表!R23+C23*1500-B23*1500</f>
        <v>5355.41666668723</v>
      </c>
      <c r="I23">
        <f ca="1" t="shared" si="2"/>
        <v>35.6947016259424</v>
      </c>
      <c r="J23">
        <f>'倾向-优先级表'!D6</f>
        <v>163.91</v>
      </c>
      <c r="K23">
        <f ca="1" t="shared" si="6"/>
        <v>-686646.345836704</v>
      </c>
      <c r="L23">
        <f ca="1" t="shared" si="3"/>
        <v>13355.4166666872</v>
      </c>
      <c r="M23">
        <f ca="1" t="shared" si="4"/>
        <v>14.3132936074406</v>
      </c>
      <c r="N23">
        <f ca="1">G34</f>
        <v>123.068793612487</v>
      </c>
      <c r="O23">
        <f ca="1" t="shared" si="5"/>
        <v>-1452475.0173613</v>
      </c>
      <c r="P23">
        <f ca="1">IF(E23=1,数据表!U23,IF(D23=1,K23,O23))</f>
        <v>-686646.345836704</v>
      </c>
      <c r="Q23">
        <f ca="1">COUNTIF(P24:P29,"&gt;"&amp;P23)+COUNTIF(P3:P22,"&gt;="&amp;P23)+1</f>
        <v>14</v>
      </c>
      <c r="R23" t="s">
        <v>206</v>
      </c>
      <c r="S23">
        <f>白天模拟!K22*10</f>
        <v>0.0133876298237536</v>
      </c>
    </row>
    <row r="24" ht="15.6" spans="1:19">
      <c r="A24" s="26" t="s">
        <v>211</v>
      </c>
      <c r="B24" s="27">
        <v>4</v>
      </c>
      <c r="C24">
        <f ca="1">数据表!K39</f>
        <v>3.32027777779149</v>
      </c>
      <c r="D24">
        <f ca="1" t="shared" si="0"/>
        <v>0</v>
      </c>
      <c r="E24">
        <f ca="1" t="shared" si="1"/>
        <v>0</v>
      </c>
      <c r="F24">
        <f>V60</f>
        <v>2.5</v>
      </c>
      <c r="G24">
        <f>数据表!T24*100</f>
        <v>661474.285714286</v>
      </c>
      <c r="H24">
        <f ca="1">数据表!R24+C24*1500-B24*1500</f>
        <v>5355.41666668723</v>
      </c>
      <c r="I24">
        <f ca="1" t="shared" si="2"/>
        <v>123.514999277071</v>
      </c>
      <c r="J24">
        <f>'倾向-优先级表'!D6</f>
        <v>163.91</v>
      </c>
      <c r="K24">
        <f ca="1" t="shared" si="6"/>
        <v>-216332.060122418</v>
      </c>
      <c r="L24">
        <f ca="1" t="shared" si="3"/>
        <v>13355.4166666872</v>
      </c>
      <c r="M24">
        <f ca="1" t="shared" si="4"/>
        <v>49.528539784477</v>
      </c>
      <c r="N24">
        <f ca="1">G34</f>
        <v>123.068793612487</v>
      </c>
      <c r="O24">
        <f ca="1" t="shared" si="5"/>
        <v>-982160.731647011</v>
      </c>
      <c r="P24">
        <f ca="1">IF(E24=1,数据表!U24,IF(D24=1,K24,O24))</f>
        <v>-982160.731647011</v>
      </c>
      <c r="Q24">
        <f ca="1">COUNTIF(P25:P29,"&gt;"&amp;P24)+COUNTIF(P3:P23,"&gt;="&amp;P24)+1</f>
        <v>21</v>
      </c>
      <c r="R24" t="s">
        <v>207</v>
      </c>
      <c r="S24">
        <f>白天模拟!K23*10</f>
        <v>0.0100268347850104</v>
      </c>
    </row>
    <row r="25" ht="15.6" spans="1:19">
      <c r="A25" s="15" t="s">
        <v>213</v>
      </c>
      <c r="B25" s="16">
        <v>6</v>
      </c>
      <c r="C25">
        <f ca="1">数据表!K39</f>
        <v>3.32027777779149</v>
      </c>
      <c r="D25">
        <f ca="1" t="shared" si="0"/>
        <v>0</v>
      </c>
      <c r="E25">
        <f ca="1" t="shared" si="1"/>
        <v>0</v>
      </c>
      <c r="F25">
        <f>V60</f>
        <v>2.5</v>
      </c>
      <c r="G25">
        <f>数据表!T25*100</f>
        <v>327702.857142857</v>
      </c>
      <c r="H25">
        <f ca="1">数据表!R25+C25*1500-B25*1500</f>
        <v>5355.41666668723</v>
      </c>
      <c r="I25">
        <f ca="1" t="shared" si="2"/>
        <v>61.1909170730441</v>
      </c>
      <c r="J25">
        <f>'倾向-优先级表'!D6</f>
        <v>163.91</v>
      </c>
      <c r="K25">
        <f ca="1" t="shared" si="6"/>
        <v>-550103.488693847</v>
      </c>
      <c r="L25">
        <f ca="1" t="shared" si="3"/>
        <v>13355.4166666872</v>
      </c>
      <c r="M25">
        <f ca="1" t="shared" si="4"/>
        <v>24.5370747556124</v>
      </c>
      <c r="N25">
        <f ca="1">G34</f>
        <v>123.068793612487</v>
      </c>
      <c r="O25">
        <f ca="1" t="shared" si="5"/>
        <v>-1315932.16021844</v>
      </c>
      <c r="P25">
        <f ca="1">IF(E25=1,数据表!U25,IF(D25=1,K25,O25))</f>
        <v>-1315932.16021844</v>
      </c>
      <c r="Q25">
        <f ca="1">COUNTIF(P26:P29,"&gt;"&amp;P25)+COUNTIF(P3:P24,"&gt;="&amp;P25)+1</f>
        <v>25</v>
      </c>
      <c r="R25" t="s">
        <v>209</v>
      </c>
      <c r="S25">
        <f>白天模拟!K24*10</f>
        <v>0.0488009659757987</v>
      </c>
    </row>
    <row r="26" ht="15.6" spans="1:19">
      <c r="A26" s="7" t="s">
        <v>213</v>
      </c>
      <c r="B26" s="8">
        <v>8</v>
      </c>
      <c r="C26">
        <f ca="1">数据表!K39</f>
        <v>3.32027777779149</v>
      </c>
      <c r="D26">
        <f ca="1" t="shared" si="0"/>
        <v>0</v>
      </c>
      <c r="E26">
        <f ca="1" t="shared" si="1"/>
        <v>0</v>
      </c>
      <c r="F26">
        <f>V60</f>
        <v>2.5</v>
      </c>
      <c r="G26">
        <f>数据表!T26*100</f>
        <v>481440</v>
      </c>
      <c r="H26">
        <f ca="1">数据表!R26+C26*1500-B26*1500</f>
        <v>5355.41666668723</v>
      </c>
      <c r="I26">
        <f ca="1" t="shared" si="2"/>
        <v>89.8977670579291</v>
      </c>
      <c r="J26">
        <f>'倾向-优先级表'!D6</f>
        <v>163.91</v>
      </c>
      <c r="K26">
        <f ca="1" t="shared" si="6"/>
        <v>-396366.345836704</v>
      </c>
      <c r="L26">
        <f ca="1" t="shared" si="3"/>
        <v>13355.4166666872</v>
      </c>
      <c r="M26">
        <f ca="1" t="shared" si="4"/>
        <v>36.0482950113319</v>
      </c>
      <c r="N26">
        <f ca="1">G34</f>
        <v>123.068793612487</v>
      </c>
      <c r="O26">
        <f ca="1" t="shared" si="5"/>
        <v>-1162195.0173613</v>
      </c>
      <c r="P26">
        <f ca="1">IF(E26=1,数据表!U26,IF(D26=1,K26,O26))</f>
        <v>-1162195.0173613</v>
      </c>
      <c r="Q26">
        <f ca="1">COUNTIF(P27:P29,"&gt;"&amp;P26)+COUNTIF(P3:P25,"&gt;="&amp;P26)+1</f>
        <v>24</v>
      </c>
      <c r="R26" t="s">
        <v>210</v>
      </c>
      <c r="S26">
        <f>白天模拟!K25*10</f>
        <v>0.0345523060181523</v>
      </c>
    </row>
    <row r="27" ht="16.35" spans="1:19">
      <c r="A27" s="17" t="s">
        <v>213</v>
      </c>
      <c r="B27" s="18">
        <v>12</v>
      </c>
      <c r="C27">
        <f ca="1">数据表!K39</f>
        <v>3.32027777779149</v>
      </c>
      <c r="D27">
        <f ca="1" t="shared" si="0"/>
        <v>0</v>
      </c>
      <c r="E27">
        <f ca="1" t="shared" si="1"/>
        <v>0</v>
      </c>
      <c r="F27">
        <f>V60</f>
        <v>2.5</v>
      </c>
      <c r="G27">
        <f>数据表!T27*100</f>
        <v>649337.142857143</v>
      </c>
      <c r="H27">
        <f ca="1">数据表!R27+C27*1500-B27*1500</f>
        <v>5355.41666668723</v>
      </c>
      <c r="I27">
        <f ca="1" t="shared" si="2"/>
        <v>121.248669015106</v>
      </c>
      <c r="J27">
        <f>'倾向-优先级表'!D6</f>
        <v>163.91</v>
      </c>
      <c r="K27">
        <f ca="1" t="shared" si="6"/>
        <v>-228469.202979561</v>
      </c>
      <c r="L27">
        <f ca="1" t="shared" si="3"/>
        <v>13355.4166666872</v>
      </c>
      <c r="M27">
        <f ca="1" t="shared" si="4"/>
        <v>48.6197592379728</v>
      </c>
      <c r="N27">
        <f ca="1">G34</f>
        <v>123.068793612487</v>
      </c>
      <c r="O27">
        <f ca="1" t="shared" si="5"/>
        <v>-994297.874504154</v>
      </c>
      <c r="P27">
        <f ca="1">IF(E27=1,数据表!U27,IF(D27=1,K27,O27))</f>
        <v>-994297.874504154</v>
      </c>
      <c r="Q27">
        <f ca="1">COUNTIF(P28:P29,"&gt;"&amp;P27)+COUNTIF(P3:P26,"&gt;="&amp;P27)+1</f>
        <v>22</v>
      </c>
      <c r="R27" t="s">
        <v>212</v>
      </c>
      <c r="S27">
        <f>白天模拟!K26*10</f>
        <v>0.0125543748554702</v>
      </c>
    </row>
    <row r="28" ht="16.35" spans="1:19">
      <c r="A28" s="28" t="s">
        <v>215</v>
      </c>
      <c r="B28" s="29">
        <v>3</v>
      </c>
      <c r="C28">
        <f ca="1">数据表!K39</f>
        <v>3.32027777779149</v>
      </c>
      <c r="D28">
        <f ca="1" t="shared" si="0"/>
        <v>1</v>
      </c>
      <c r="E28">
        <f ca="1" t="shared" si="1"/>
        <v>0</v>
      </c>
      <c r="F28">
        <f>V60</f>
        <v>2.5</v>
      </c>
      <c r="G28">
        <f>数据表!T28*100</f>
        <v>150197.142857143</v>
      </c>
      <c r="H28">
        <f ca="1">数据表!R28+C28*1500-B28*1500</f>
        <v>5355.41666668723</v>
      </c>
      <c r="I28">
        <f ca="1" t="shared" si="2"/>
        <v>28.0458369918119</v>
      </c>
      <c r="J28">
        <f>'倾向-优先级表'!D6</f>
        <v>163.91</v>
      </c>
      <c r="K28">
        <f ca="1" t="shared" si="6"/>
        <v>-727609.202979561</v>
      </c>
      <c r="L28">
        <f ca="1" t="shared" si="3"/>
        <v>13355.4166666872</v>
      </c>
      <c r="M28">
        <f ca="1" t="shared" si="4"/>
        <v>11.2461592629891</v>
      </c>
      <c r="N28">
        <f ca="1">G34</f>
        <v>123.068793612487</v>
      </c>
      <c r="O28">
        <f ca="1" t="shared" si="5"/>
        <v>-1493437.87450415</v>
      </c>
      <c r="P28">
        <f ca="1">IF(E28=1,数据表!U28,IF(D28=1,K28,O28))</f>
        <v>-727609.202979561</v>
      </c>
      <c r="Q28">
        <f ca="1">COUNTIF(P3:P27,"&gt;="&amp;P28)+1+COUNTIF(P29:P29,"&gt;"&amp;P28)</f>
        <v>17</v>
      </c>
      <c r="R28" t="s">
        <v>214</v>
      </c>
      <c r="S28">
        <f>白天模拟!K27*10</f>
        <v>0.0213591023536649</v>
      </c>
    </row>
    <row r="29" spans="1:19">
      <c r="A29" t="s">
        <v>334</v>
      </c>
      <c r="B29" s="30">
        <v>1</v>
      </c>
      <c r="C29">
        <f ca="1">数据表!K39</f>
        <v>3.32027777779149</v>
      </c>
      <c r="D29">
        <f ca="1" t="shared" si="0"/>
        <v>1</v>
      </c>
      <c r="E29">
        <f ca="1" t="shared" si="1"/>
        <v>0</v>
      </c>
      <c r="F29">
        <f>F28</f>
        <v>2.5</v>
      </c>
      <c r="G29">
        <v>0</v>
      </c>
      <c r="H29">
        <f ca="1">H7</f>
        <v>5355.41666668723</v>
      </c>
      <c r="I29">
        <v>0</v>
      </c>
      <c r="J29">
        <f>'倾向-优先级表'!D6</f>
        <v>163.91</v>
      </c>
      <c r="K29">
        <f ca="1" t="shared" si="6"/>
        <v>-877806.345836704</v>
      </c>
      <c r="L29">
        <f ca="1">L7</f>
        <v>13355.4166666872</v>
      </c>
      <c r="O29">
        <f ca="1">-L29*N28</f>
        <v>-1643635.0173613</v>
      </c>
      <c r="P29">
        <f ca="1">IF(E29=1,数据表!W7,IF(D29=1,K29,O29))</f>
        <v>-877806.345836704</v>
      </c>
      <c r="Q29">
        <f ca="1">COUNTIF(P3:P28,"&gt;="&amp;P29)+1</f>
        <v>19</v>
      </c>
      <c r="R29" t="s">
        <v>335</v>
      </c>
      <c r="S29">
        <f>S7*(1-0.733333)</f>
        <v>0.0235015228378738</v>
      </c>
    </row>
    <row r="30" spans="2:2">
      <c r="B30" s="30"/>
    </row>
    <row r="31" spans="2:2">
      <c r="B31" s="30"/>
    </row>
    <row r="33" spans="1:7">
      <c r="A33" t="s">
        <v>336</v>
      </c>
      <c r="B33" t="s">
        <v>337</v>
      </c>
      <c r="C33" t="s">
        <v>338</v>
      </c>
      <c r="D33" t="s">
        <v>339</v>
      </c>
      <c r="E33" t="s">
        <v>340</v>
      </c>
      <c r="F33" t="s">
        <v>341</v>
      </c>
      <c r="G33" t="s">
        <v>327</v>
      </c>
    </row>
    <row r="34" spans="1:7">
      <c r="A34">
        <f>白天模拟!Q62</f>
        <v>1534.88892091846</v>
      </c>
      <c r="B34">
        <f>白天模拟!Q63</f>
        <v>2515.81865822297</v>
      </c>
      <c r="C34">
        <f>夜晚模拟!Q62</f>
        <v>2037.50130253895</v>
      </c>
      <c r="D34">
        <f>夜晚模拟!Q63</f>
        <v>2247.36401458673</v>
      </c>
      <c r="E34">
        <f ca="1">数据表!K39</f>
        <v>3.32027777779149</v>
      </c>
      <c r="F34">
        <f>24-'倾向-优先级表'!I13</f>
        <v>8</v>
      </c>
      <c r="G34">
        <f ca="1">(B34*E34+D34*F34)/(A34*E34+C34*F34)*100</f>
        <v>123.068793612487</v>
      </c>
    </row>
    <row r="35" spans="4:5">
      <c r="D35" t="s">
        <v>342</v>
      </c>
      <c r="E35">
        <f ca="1">E34*'倾向-优先级表'!F116+'倾向-优先级表'!G116*F34</f>
        <v>12980.4166666872</v>
      </c>
    </row>
    <row r="36" spans="1:6">
      <c r="A36">
        <f ca="1">VLOOKUP(1,Q3:S29,3,0)</f>
        <v>0.0121655225369379</v>
      </c>
      <c r="B36">
        <f ca="1">(1-A36)^5</f>
        <v>0.940634490988829</v>
      </c>
      <c r="C36">
        <f ca="1">IF(B36&lt;D36,1,0)</f>
        <v>0</v>
      </c>
      <c r="D36">
        <f>白天模拟!U29</f>
        <v>0.089884183659677</v>
      </c>
      <c r="E36">
        <v>1</v>
      </c>
      <c r="F36" t="str">
        <f ca="1">VLOOKUP(1,Q3:S29,2,0)</f>
        <v>舰装解析0.5h</v>
      </c>
    </row>
    <row r="37" spans="1:6">
      <c r="A37">
        <f ca="1">VLOOKUP(2,Q3:S29,3,0)</f>
        <v>0.00323221350284484</v>
      </c>
      <c r="B37">
        <f ca="1">B36*(1-A37)^5</f>
        <v>0.925530786362475</v>
      </c>
      <c r="C37">
        <f ca="1">IF(B37&lt;D37,IF(C36=0,999,1),0)</f>
        <v>0</v>
      </c>
      <c r="D37">
        <f>白天模拟!U29</f>
        <v>0.089884183659677</v>
      </c>
      <c r="E37">
        <v>2</v>
      </c>
      <c r="F37" t="str">
        <f ca="1">VLOOKUP(2,Q3:S29,2,0)</f>
        <v>彩船定向0.5h</v>
      </c>
    </row>
    <row r="38" spans="1:6">
      <c r="A38">
        <f ca="1">VLOOKUP(3,Q3:S29,3,0)</f>
        <v>0</v>
      </c>
      <c r="B38">
        <f ca="1" t="shared" ref="B38:B61" si="7">B37*(1-A38)^5</f>
        <v>0.925530786362475</v>
      </c>
      <c r="C38">
        <f ca="1" t="shared" ref="C38:C61" si="8">IF(B38&lt;D38,IF(C37=0,999,1),0)</f>
        <v>0</v>
      </c>
      <c r="D38">
        <f>白天模拟!U29</f>
        <v>0.089884183659677</v>
      </c>
      <c r="E38">
        <v>3</v>
      </c>
      <c r="F38" t="str">
        <f ca="1">VLOOKUP(3,Q3:S29,2,0)</f>
        <v>金船定向0.5h</v>
      </c>
    </row>
    <row r="39" spans="1:6">
      <c r="A39">
        <f ca="1">VLOOKUP(4,Q3:S29,3,0)</f>
        <v>0.0179400377367202</v>
      </c>
      <c r="B39">
        <f ca="1" t="shared" si="7"/>
        <v>0.845436312638286</v>
      </c>
      <c r="C39">
        <f ca="1" t="shared" si="8"/>
        <v>0</v>
      </c>
      <c r="D39">
        <f>白天模拟!U29</f>
        <v>0.089884183659677</v>
      </c>
      <c r="E39">
        <v>4</v>
      </c>
      <c r="F39" t="str">
        <f ca="1">VLOOKUP(4,Q3:S29,2,0)</f>
        <v>彩船定向8h</v>
      </c>
    </row>
    <row r="40" spans="1:6">
      <c r="A40">
        <f ca="1">VLOOKUP(5,Q3:S29,3,0)</f>
        <v>0.120694360024834</v>
      </c>
      <c r="B40">
        <f ca="1" t="shared" si="7"/>
        <v>0.444406284031025</v>
      </c>
      <c r="C40">
        <f ca="1" t="shared" si="8"/>
        <v>0</v>
      </c>
      <c r="D40">
        <f>白天模拟!U29</f>
        <v>0.089884183659677</v>
      </c>
      <c r="E40">
        <v>5</v>
      </c>
      <c r="F40" t="str">
        <f ca="1">VLOOKUP(5,Q3:S29,2,0)</f>
        <v>彩船定向2.5h</v>
      </c>
    </row>
    <row r="41" spans="1:6">
      <c r="A41">
        <f ca="1">VLOOKUP(6,Q3:S29,3,0)</f>
        <v>0.00122210728681568</v>
      </c>
      <c r="B41">
        <f ca="1" t="shared" si="7"/>
        <v>0.441697352547503</v>
      </c>
      <c r="C41">
        <f ca="1" t="shared" si="8"/>
        <v>0</v>
      </c>
      <c r="D41">
        <f>白天模拟!U29</f>
        <v>0.089884183659677</v>
      </c>
      <c r="E41">
        <v>6</v>
      </c>
      <c r="F41" t="str">
        <f ca="1">VLOOKUP(6,Q3:S29,2,0)</f>
        <v>心智补全0.5h</v>
      </c>
    </row>
    <row r="42" spans="1:6">
      <c r="A42">
        <f ca="1">VLOOKUP(7,Q3:S29,3,0)</f>
        <v>0.0441069629878023</v>
      </c>
      <c r="B42">
        <f ca="1" t="shared" si="7"/>
        <v>0.352509874279388</v>
      </c>
      <c r="C42">
        <f ca="1" t="shared" si="8"/>
        <v>0</v>
      </c>
      <c r="D42">
        <f>白天模拟!U29</f>
        <v>0.089884183659677</v>
      </c>
      <c r="E42">
        <v>7</v>
      </c>
      <c r="F42" t="str">
        <f ca="1">VLOOKUP(7,Q3:S29,2,0)</f>
        <v>舰装解析2h</v>
      </c>
    </row>
    <row r="43" spans="1:6">
      <c r="A43">
        <f ca="1">VLOOKUP(8,Q3:S29,3,0)</f>
        <v>0</v>
      </c>
      <c r="B43">
        <f ca="1" t="shared" si="7"/>
        <v>0.352509874279388</v>
      </c>
      <c r="C43">
        <f ca="1" t="shared" si="8"/>
        <v>0</v>
      </c>
      <c r="D43">
        <f>白天模拟!U29</f>
        <v>0.089884183659677</v>
      </c>
      <c r="E43">
        <v>8</v>
      </c>
      <c r="F43" t="str">
        <f ca="1">VLOOKUP(8,Q3:S29,2,0)</f>
        <v>金船定向2.5h</v>
      </c>
    </row>
    <row r="44" spans="1:6">
      <c r="A44">
        <f ca="1">VLOOKUP(9,Q3:S29,3,0)</f>
        <v>0.0651605385197631</v>
      </c>
      <c r="B44">
        <f ca="1" t="shared" si="7"/>
        <v>0.251684499513605</v>
      </c>
      <c r="C44">
        <f ca="1" t="shared" si="8"/>
        <v>0</v>
      </c>
      <c r="D44">
        <f>白天模拟!U29</f>
        <v>0.089884183659677</v>
      </c>
      <c r="E44">
        <v>9</v>
      </c>
      <c r="F44" t="str">
        <f ca="1">VLOOKUP(9,Q3:S29,2,0)</f>
        <v>资金募集2.5h</v>
      </c>
    </row>
    <row r="45" spans="1:6">
      <c r="A45">
        <f ca="1">VLOOKUP(10,Q3:S29,3,0)</f>
        <v>0.0954354690340606</v>
      </c>
      <c r="B45">
        <f ca="1" t="shared" si="7"/>
        <v>0.152424311584755</v>
      </c>
      <c r="C45">
        <f ca="1" t="shared" si="8"/>
        <v>0</v>
      </c>
      <c r="D45">
        <f>白天模拟!U29</f>
        <v>0.089884183659677</v>
      </c>
      <c r="E45">
        <v>10</v>
      </c>
      <c r="F45" t="str">
        <f ca="1">VLOOKUP(10,Q3:S29,2,0)</f>
        <v>资金募集1.5h</v>
      </c>
    </row>
    <row r="46" spans="1:6">
      <c r="A46">
        <f ca="1">VLOOKUP(11,Q3:S29,3,0)</f>
        <v>0</v>
      </c>
      <c r="B46">
        <f ca="1" t="shared" si="7"/>
        <v>0.152424311584755</v>
      </c>
      <c r="C46">
        <f ca="1" t="shared" si="8"/>
        <v>0</v>
      </c>
      <c r="D46">
        <f>白天模拟!U29</f>
        <v>0.089884183659677</v>
      </c>
      <c r="E46">
        <v>11</v>
      </c>
      <c r="F46" t="str">
        <f ca="1">VLOOKUP(11,Q3:S29,2,0)</f>
        <v>金船定向8h</v>
      </c>
    </row>
    <row r="47" spans="1:6">
      <c r="A47">
        <f ca="1">VLOOKUP(12,Q3:S29,3,0)</f>
        <v>0.088130600478776</v>
      </c>
      <c r="B47">
        <f ca="1" t="shared" si="7"/>
        <v>0.0960986865314706</v>
      </c>
      <c r="C47">
        <f ca="1" t="shared" si="8"/>
        <v>0</v>
      </c>
      <c r="D47">
        <f>白天模拟!U29</f>
        <v>0.089884183659677</v>
      </c>
      <c r="E47">
        <v>12</v>
      </c>
      <c r="F47" t="str">
        <f ca="1">VLOOKUP(12,Q3:S29,2,0)</f>
        <v>舰装解析1h</v>
      </c>
    </row>
    <row r="48" spans="1:6">
      <c r="A48">
        <f ca="1">VLOOKUP(13,Q3:S29,3,0)</f>
        <v>0.0760697689506738</v>
      </c>
      <c r="B48">
        <f ca="1" t="shared" si="7"/>
        <v>0.0647013495319174</v>
      </c>
      <c r="C48">
        <f ca="1" t="shared" si="8"/>
        <v>999</v>
      </c>
      <c r="D48">
        <f>白天模拟!U29</f>
        <v>0.089884183659677</v>
      </c>
      <c r="E48">
        <v>13</v>
      </c>
      <c r="F48" t="str">
        <f ca="1">VLOOKUP(13,Q3:S29,2,0)</f>
        <v>彩船定向5h</v>
      </c>
    </row>
    <row r="49" spans="1:6">
      <c r="A49">
        <f ca="1">VLOOKUP(14,Q3:S29,3,0)</f>
        <v>0.0133876298237536</v>
      </c>
      <c r="B49">
        <f ca="1" t="shared" si="7"/>
        <v>0.0604847821824391</v>
      </c>
      <c r="C49">
        <f ca="1" t="shared" si="8"/>
        <v>1</v>
      </c>
      <c r="D49">
        <f>白天模拟!U29</f>
        <v>0.089884183659677</v>
      </c>
      <c r="E49">
        <v>14</v>
      </c>
      <c r="F49" t="str">
        <f ca="1">VLOOKUP(14,Q3:S29,2,0)</f>
        <v>试验品募集2h紫</v>
      </c>
    </row>
    <row r="50" spans="1:6">
      <c r="A50">
        <f ca="1">VLOOKUP(15,Q3:S29,3,0)</f>
        <v>0.0196925924170981</v>
      </c>
      <c r="B50">
        <f ca="1" t="shared" si="7"/>
        <v>0.0547592564908121</v>
      </c>
      <c r="C50">
        <f ca="1" t="shared" si="8"/>
        <v>1</v>
      </c>
      <c r="D50">
        <f>白天模拟!U29</f>
        <v>0.089884183659677</v>
      </c>
      <c r="E50">
        <v>15</v>
      </c>
      <c r="F50" t="str">
        <f ca="1">VLOOKUP(15,Q3:S29,2,0)</f>
        <v>试验品募集2h蓝</v>
      </c>
    </row>
    <row r="51" spans="1:6">
      <c r="A51">
        <f ca="1">VLOOKUP(16,Q3:S29,3,0)</f>
        <v>0.0239144175897341</v>
      </c>
      <c r="B51">
        <f ca="1" t="shared" si="7"/>
        <v>0.048517345595225</v>
      </c>
      <c r="C51">
        <f ca="1" t="shared" si="8"/>
        <v>1</v>
      </c>
      <c r="D51">
        <f>白天模拟!U29</f>
        <v>0.089884183659677</v>
      </c>
      <c r="E51">
        <v>16</v>
      </c>
      <c r="F51" t="str">
        <f ca="1">VLOOKUP(16,Q3:S29,2,0)</f>
        <v>舰装解析4h</v>
      </c>
    </row>
    <row r="52" spans="1:6">
      <c r="A52">
        <f ca="1">VLOOKUP(17,Q3:S29,3,0)</f>
        <v>0.0213591023536649</v>
      </c>
      <c r="B52">
        <f ca="1" t="shared" si="7"/>
        <v>0.0435525750490724</v>
      </c>
      <c r="C52">
        <f ca="1" t="shared" si="8"/>
        <v>1</v>
      </c>
      <c r="D52">
        <f>白天模拟!U29</f>
        <v>0.089884183659677</v>
      </c>
      <c r="E52">
        <v>17</v>
      </c>
      <c r="F52" t="str">
        <f ca="1">VLOOKUP(17,Q3:S29,2,0)</f>
        <v>研究委托3h</v>
      </c>
    </row>
    <row r="53" spans="1:6">
      <c r="A53">
        <f ca="1">VLOOKUP(18,Q3:S29,3,0)</f>
        <v>0.0498008719377387</v>
      </c>
      <c r="B53">
        <f ca="1" t="shared" si="7"/>
        <v>0.03373548635118</v>
      </c>
      <c r="C53">
        <f ca="1" t="shared" si="8"/>
        <v>1</v>
      </c>
      <c r="D53">
        <f>白天模拟!U29</f>
        <v>0.089884183659677</v>
      </c>
      <c r="E53">
        <v>18</v>
      </c>
      <c r="F53" t="str">
        <f ca="1">VLOOKUP(18,Q3:S29,2,0)</f>
        <v>资金募集4h</v>
      </c>
    </row>
    <row r="54" spans="1:6">
      <c r="A54">
        <f ca="1">VLOOKUP(19,Q3:S29,3,0)</f>
        <v>0.0235015228378738</v>
      </c>
      <c r="B54">
        <f ca="1" t="shared" si="7"/>
        <v>0.0299533104206093</v>
      </c>
      <c r="C54">
        <f ca="1" t="shared" si="8"/>
        <v>1</v>
      </c>
      <c r="D54">
        <f>白天模拟!U29</f>
        <v>0.089884183659677</v>
      </c>
      <c r="E54">
        <v>19</v>
      </c>
      <c r="F54" t="str">
        <f ca="1">VLOOKUP(19,Q3:S29,2,0)</f>
        <v>23期舰装解析1h</v>
      </c>
    </row>
    <row r="55" spans="1:6">
      <c r="A55">
        <f ca="1">VLOOKUP(20,Q3:S29,3,0)</f>
        <v>0.110961786609742</v>
      </c>
      <c r="B55">
        <f ca="1" t="shared" si="7"/>
        <v>0.0166359256312588</v>
      </c>
      <c r="C55">
        <f ca="1" t="shared" si="8"/>
        <v>1</v>
      </c>
      <c r="D55">
        <f>白天模拟!U29</f>
        <v>0.089884183659677</v>
      </c>
      <c r="E55">
        <v>20</v>
      </c>
      <c r="F55" t="str">
        <f ca="1">VLOOKUP(20,Q3:S29,2,0)</f>
        <v>魔方解析1h</v>
      </c>
    </row>
    <row r="56" spans="1:6">
      <c r="A56">
        <f ca="1">VLOOKUP(21,Q3:S29,3,0)</f>
        <v>0.0100268347850104</v>
      </c>
      <c r="B56">
        <f ca="1" t="shared" si="7"/>
        <v>0.0158184557089389</v>
      </c>
      <c r="C56">
        <f ca="1" t="shared" si="8"/>
        <v>1</v>
      </c>
      <c r="D56">
        <f>白天模拟!U29</f>
        <v>0.089884183659677</v>
      </c>
      <c r="E56">
        <v>21</v>
      </c>
      <c r="F56" t="str">
        <f ca="1">VLOOKUP(21,Q3:S29,2,0)</f>
        <v>金数据收集4h</v>
      </c>
    </row>
    <row r="57" spans="1:6">
      <c r="A57">
        <f ca="1">VLOOKUP(22,Q3:S29,3,0)</f>
        <v>0.0125543748554702</v>
      </c>
      <c r="B57">
        <f ca="1" t="shared" si="7"/>
        <v>0.0148501223884442</v>
      </c>
      <c r="C57">
        <f ca="1" t="shared" si="8"/>
        <v>1</v>
      </c>
      <c r="D57">
        <f>白天模拟!U29</f>
        <v>0.089884183659677</v>
      </c>
      <c r="E57">
        <v>22</v>
      </c>
      <c r="F57" t="str">
        <f ca="1">VLOOKUP(22,Q3:S29,2,0)</f>
        <v>基础研究12h</v>
      </c>
    </row>
    <row r="58" spans="1:6">
      <c r="A58">
        <f ca="1">VLOOKUP(23,Q3:S29,3,0)</f>
        <v>0</v>
      </c>
      <c r="B58">
        <f ca="1" t="shared" si="7"/>
        <v>0.0148501223884442</v>
      </c>
      <c r="C58">
        <f ca="1" t="shared" si="8"/>
        <v>1</v>
      </c>
      <c r="D58">
        <f>白天模拟!U29</f>
        <v>0.089884183659677</v>
      </c>
      <c r="E58">
        <v>23</v>
      </c>
      <c r="F58" t="str">
        <f ca="1">VLOOKUP(23,Q3:S29,2,0)</f>
        <v>金船定向5h</v>
      </c>
    </row>
    <row r="59" spans="1:6">
      <c r="A59">
        <f ca="1">VLOOKUP(24,Q3:S29,3,0)</f>
        <v>0.0345523060181523</v>
      </c>
      <c r="B59">
        <f ca="1" t="shared" si="7"/>
        <v>0.0124558617906782</v>
      </c>
      <c r="C59">
        <f ca="1" t="shared" si="8"/>
        <v>1</v>
      </c>
      <c r="D59">
        <f>白天模拟!U29</f>
        <v>0.089884183659677</v>
      </c>
      <c r="E59">
        <v>24</v>
      </c>
      <c r="F59" t="str">
        <f ca="1">VLOOKUP(24,Q3:S29,2,0)</f>
        <v>基础研究8h</v>
      </c>
    </row>
    <row r="60" spans="1:24">
      <c r="A60">
        <f ca="1">VLOOKUP(25,Q3:S29,3,0)</f>
        <v>0.0488009659757987</v>
      </c>
      <c r="B60">
        <f ca="1" t="shared" si="7"/>
        <v>0.00969908540546471</v>
      </c>
      <c r="C60">
        <f ca="1" t="shared" si="8"/>
        <v>1</v>
      </c>
      <c r="D60">
        <f>白天模拟!U29</f>
        <v>0.089884183659677</v>
      </c>
      <c r="E60">
        <v>25</v>
      </c>
      <c r="F60" t="str">
        <f ca="1">VLOOKUP(25,Q3:S29,2,0)</f>
        <v>基础研究6h</v>
      </c>
      <c r="U60" t="s">
        <v>343</v>
      </c>
      <c r="V60">
        <f>2.5</f>
        <v>2.5</v>
      </c>
      <c r="W60" t="s">
        <v>344</v>
      </c>
      <c r="X60" t="e">
        <f>IF(当前时间项目推荐!#REF!=0,0.92,0.85)</f>
        <v>#REF!</v>
      </c>
    </row>
    <row r="61" spans="1:6">
      <c r="A61">
        <f ca="1">VLOOKUP(26,Q3:S29,3,0)</f>
        <v>0.0735764136994257</v>
      </c>
      <c r="B61">
        <f ca="1" t="shared" si="7"/>
        <v>0.00661879302868291</v>
      </c>
      <c r="C61">
        <f ca="1" t="shared" si="8"/>
        <v>1</v>
      </c>
      <c r="D61">
        <f>白天模拟!U29</f>
        <v>0.089884183659677</v>
      </c>
      <c r="E61">
        <v>26</v>
      </c>
      <c r="F61" t="str">
        <f ca="1">VLOOKUP(26,Q3:S29,2,0)</f>
        <v>魔方解析2h</v>
      </c>
    </row>
    <row r="63" spans="1:3">
      <c r="A63">
        <f ca="1">SUM(A36:A61)</f>
        <v>0.966286399962691</v>
      </c>
      <c r="B63">
        <f ca="1">SUM(A36:A45)</f>
        <v>0.359957211629779</v>
      </c>
      <c r="C63">
        <f ca="1">B63/A63</f>
        <v>0.372516069401036</v>
      </c>
    </row>
    <row r="94" spans="23:25">
      <c r="W94" t="s">
        <v>164</v>
      </c>
      <c r="X94">
        <f>数据表!H3</f>
        <v>18</v>
      </c>
      <c r="Y94">
        <f>夜晚模拟!AH2</f>
        <v>0.657002353315767</v>
      </c>
    </row>
    <row r="95" spans="23:25">
      <c r="W95" t="s">
        <v>170</v>
      </c>
      <c r="X95">
        <f>数据表!H4</f>
        <v>22</v>
      </c>
      <c r="Y95">
        <f>夜晚模拟!AH3</f>
        <v>0.760547077767699</v>
      </c>
    </row>
    <row r="96" spans="23:25">
      <c r="W96" t="s">
        <v>182</v>
      </c>
      <c r="X96">
        <f>数据表!H5</f>
        <v>25</v>
      </c>
      <c r="Y96">
        <f>夜晚模拟!AH4</f>
        <v>0.942213959513023</v>
      </c>
    </row>
    <row r="97" spans="23:25">
      <c r="W97" t="s">
        <v>184</v>
      </c>
      <c r="X97">
        <f>数据表!H6</f>
        <v>13</v>
      </c>
      <c r="Y97">
        <f>夜晚模拟!AH5</f>
        <v>0.995607354640737</v>
      </c>
    </row>
    <row r="98" spans="23:25">
      <c r="W98" t="s">
        <v>185</v>
      </c>
      <c r="X98">
        <f>数据表!H7</f>
        <v>5</v>
      </c>
      <c r="Y98">
        <f>夜晚模拟!AH6</f>
        <v>0.718870228878597</v>
      </c>
    </row>
    <row r="99" spans="23:25">
      <c r="W99" t="s">
        <v>186</v>
      </c>
      <c r="X99">
        <f>数据表!H8</f>
        <v>7</v>
      </c>
      <c r="Y99">
        <f>夜晚模拟!AH7</f>
        <v>0.850519529769823</v>
      </c>
    </row>
    <row r="100" spans="23:25">
      <c r="W100" t="s">
        <v>188</v>
      </c>
      <c r="X100">
        <f>数据表!H9</f>
        <v>6</v>
      </c>
      <c r="Y100">
        <f>夜晚模拟!AH8</f>
        <v>0.916675396442634</v>
      </c>
    </row>
    <row r="101" spans="23:25">
      <c r="W101" t="s">
        <v>190</v>
      </c>
      <c r="X101">
        <f>数据表!H10</f>
        <v>1</v>
      </c>
      <c r="Y101">
        <f>夜晚模拟!AH9</f>
        <v>0.956923666671766</v>
      </c>
    </row>
    <row r="102" spans="23:25">
      <c r="W102" t="s">
        <v>191</v>
      </c>
      <c r="X102">
        <f>数据表!H11</f>
        <v>10</v>
      </c>
      <c r="Y102">
        <f>夜晚模拟!AH10</f>
        <v>1</v>
      </c>
    </row>
    <row r="103" spans="23:25">
      <c r="W103" t="s">
        <v>192</v>
      </c>
      <c r="X103">
        <f>数据表!H12</f>
        <v>20</v>
      </c>
      <c r="Y103">
        <f>夜晚模拟!AH11</f>
        <v>1</v>
      </c>
    </row>
    <row r="104" spans="23:25">
      <c r="W104" t="s">
        <v>193</v>
      </c>
      <c r="X104">
        <f>数据表!H13</f>
        <v>21</v>
      </c>
      <c r="Y104">
        <f>夜晚模拟!AH12</f>
        <v>1</v>
      </c>
    </row>
    <row r="105" spans="23:25">
      <c r="W105" t="s">
        <v>195</v>
      </c>
      <c r="X105">
        <f>数据表!H14</f>
        <v>3</v>
      </c>
      <c r="Y105">
        <f>夜晚模拟!AH13</f>
        <v>1</v>
      </c>
    </row>
    <row r="106" spans="23:25">
      <c r="W106" t="s">
        <v>196</v>
      </c>
      <c r="X106">
        <f>数据表!H15</f>
        <v>4</v>
      </c>
      <c r="Y106">
        <f>夜晚模拟!AH14</f>
        <v>0.62916615717597</v>
      </c>
    </row>
    <row r="107" spans="23:25">
      <c r="W107" t="s">
        <v>197</v>
      </c>
      <c r="X107">
        <f>数据表!H16</f>
        <v>11</v>
      </c>
      <c r="Y107">
        <f>夜晚模拟!AH15</f>
        <v>0.752067092815587</v>
      </c>
    </row>
    <row r="108" spans="23:25">
      <c r="W108" t="s">
        <v>198</v>
      </c>
      <c r="X108">
        <f>数据表!H17</f>
        <v>17</v>
      </c>
      <c r="Y108">
        <f>夜晚模拟!AH16</f>
        <v>0.936899953645047</v>
      </c>
    </row>
    <row r="109" spans="23:25">
      <c r="W109" t="s">
        <v>200</v>
      </c>
      <c r="X109">
        <f>数据表!H18</f>
        <v>2</v>
      </c>
      <c r="Y109">
        <f>夜晚模拟!AH17</f>
        <v>0.988411702585271</v>
      </c>
    </row>
    <row r="110" spans="23:25">
      <c r="W110" t="s">
        <v>201</v>
      </c>
      <c r="X110">
        <f>数据表!H19</f>
        <v>8</v>
      </c>
      <c r="Y110">
        <f>夜晚模拟!AH18</f>
        <v>0.698616024697181</v>
      </c>
    </row>
    <row r="111" spans="23:25">
      <c r="W111" s="30" t="s">
        <v>202</v>
      </c>
      <c r="X111">
        <f>数据表!H20</f>
        <v>12</v>
      </c>
      <c r="Y111">
        <f>夜晚模拟!AH19</f>
        <v>0.785466805812577</v>
      </c>
    </row>
    <row r="112" spans="23:25">
      <c r="W112" t="s">
        <v>203</v>
      </c>
      <c r="X112">
        <f>数据表!H21</f>
        <v>9</v>
      </c>
      <c r="Y112">
        <f>夜晚模拟!AH20</f>
        <v>0.832537673770187</v>
      </c>
    </row>
    <row r="113" spans="23:25">
      <c r="W113" t="s">
        <v>205</v>
      </c>
      <c r="X113">
        <f>数据表!H22</f>
        <v>16</v>
      </c>
      <c r="Y113">
        <f>夜晚模拟!AH21</f>
        <v>0.930987065049682</v>
      </c>
    </row>
    <row r="114" spans="23:25">
      <c r="W114" t="s">
        <v>206</v>
      </c>
      <c r="X114">
        <f>数据表!H23</f>
        <v>14</v>
      </c>
      <c r="Y114">
        <f>夜晚模拟!AH22</f>
        <v>0.952675677334966</v>
      </c>
    </row>
    <row r="115" spans="23:25">
      <c r="W115" t="s">
        <v>207</v>
      </c>
      <c r="X115">
        <f>数据表!H24</f>
        <v>15</v>
      </c>
      <c r="Y115">
        <f>夜晚模拟!AH23</f>
        <v>0.964392266620933</v>
      </c>
    </row>
    <row r="116" spans="23:25">
      <c r="W116" t="s">
        <v>209</v>
      </c>
      <c r="X116">
        <f>数据表!H25</f>
        <v>23</v>
      </c>
      <c r="Y116">
        <f>夜晚模拟!AH24</f>
        <v>0.835674388820499</v>
      </c>
    </row>
    <row r="117" spans="23:25">
      <c r="W117" t="s">
        <v>210</v>
      </c>
      <c r="X117">
        <f>数据表!H26</f>
        <v>24</v>
      </c>
      <c r="Y117">
        <f>夜晚模拟!AH25</f>
        <v>0.881354350526185</v>
      </c>
    </row>
    <row r="118" spans="23:25">
      <c r="W118" t="s">
        <v>212</v>
      </c>
      <c r="X118">
        <f>数据表!H27</f>
        <v>26</v>
      </c>
      <c r="Y118">
        <f>夜晚模拟!AH26</f>
        <v>0.95557047568038</v>
      </c>
    </row>
    <row r="119" spans="23:25">
      <c r="W119" t="s">
        <v>214</v>
      </c>
      <c r="X119">
        <f>数据表!H28</f>
        <v>19</v>
      </c>
      <c r="Y119">
        <f>夜晚模拟!AH27</f>
        <v>0.92531759898509</v>
      </c>
    </row>
  </sheetData>
  <mergeCells count="1">
    <mergeCell ref="A1:B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倾向-优先级表</vt:lpstr>
      <vt:lpstr>当前时间项目推荐</vt:lpstr>
      <vt:lpstr>表格使用说明</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2022-02-26T12:14:08Z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2052-11.1.0.11294</vt:lpwstr>
  </property>
  <property fmtid="{D5CDD505-2E9C-101B-9397-08002B2CF9AE}" pid="4" name="KSOReadingLayout">
    <vt:bool>true</vt:bool>
  </property>
</Properties>
</file>