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updateLinks="never"/>
  <mc:AlternateContent xmlns:mc="http://schemas.openxmlformats.org/markup-compatibility/2006">
    <mc:Choice Requires="x15">
      <x15ac:absPath xmlns:x15ac="http://schemas.microsoft.com/office/spreadsheetml/2010/11/ac" url="C:\Users\86177\Desktop\碧蓝航线\拉表\"/>
    </mc:Choice>
  </mc:AlternateContent>
  <xr:revisionPtr revIDLastSave="0" documentId="13_ncr:1_{FBEEF77B-0194-49D1-80C5-6530B496E8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计算过程" sheetId="2" r:id="rId2"/>
    <sheet name="Sheet2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" i="2" l="1"/>
  <c r="T31" i="2" l="1"/>
  <c r="AI126" i="2"/>
  <c r="M7" i="1"/>
  <c r="T7" i="2"/>
  <c r="BB88" i="2" l="1"/>
  <c r="BA88" i="2"/>
  <c r="AZ88" i="2"/>
  <c r="AY88" i="2"/>
  <c r="AG85" i="2"/>
  <c r="AG84" i="2"/>
  <c r="I45" i="1"/>
  <c r="I43" i="1"/>
  <c r="I41" i="1"/>
  <c r="I39" i="1"/>
  <c r="I37" i="1"/>
  <c r="AS79" i="2"/>
  <c r="AP79" i="2"/>
  <c r="AM79" i="2"/>
  <c r="AJ79" i="2"/>
  <c r="AG81" i="2"/>
  <c r="AG80" i="2"/>
  <c r="AG78" i="2"/>
  <c r="AG77" i="2"/>
  <c r="AS76" i="2"/>
  <c r="AP76" i="2"/>
  <c r="AM76" i="2"/>
  <c r="AJ76" i="2"/>
  <c r="AG75" i="2"/>
  <c r="AG74" i="2"/>
  <c r="AS73" i="2"/>
  <c r="AP73" i="2"/>
  <c r="AJ73" i="2"/>
  <c r="AG72" i="2"/>
  <c r="AG71" i="2"/>
  <c r="AP70" i="2"/>
  <c r="AM70" i="2"/>
  <c r="AG69" i="2"/>
  <c r="AG68" i="2"/>
  <c r="AS67" i="2"/>
  <c r="AP67" i="2"/>
  <c r="AM67" i="2"/>
  <c r="AJ67" i="2"/>
  <c r="E12" i="3"/>
  <c r="E13" i="3" s="1"/>
  <c r="D13" i="3"/>
  <c r="D12" i="3"/>
  <c r="C12" i="3"/>
  <c r="C13" i="3" s="1"/>
  <c r="C6" i="3"/>
  <c r="B6" i="3"/>
  <c r="B7" i="3" s="1"/>
  <c r="D6" i="3"/>
  <c r="B12" i="3" l="1"/>
  <c r="B13" i="3" s="1"/>
  <c r="D7" i="3"/>
  <c r="C7" i="3"/>
  <c r="AF116" i="2" l="1"/>
  <c r="AW39" i="2"/>
  <c r="AW38" i="2"/>
  <c r="AT39" i="2"/>
  <c r="AT38" i="2"/>
  <c r="AQ39" i="2"/>
  <c r="AQ38" i="2"/>
  <c r="AN39" i="2"/>
  <c r="AN38" i="2"/>
  <c r="AK39" i="2"/>
  <c r="AK38" i="2"/>
  <c r="AH39" i="2"/>
  <c r="AH38" i="2"/>
  <c r="AW44" i="2"/>
  <c r="AV44" i="2"/>
  <c r="BK12" i="2"/>
  <c r="BK11" i="2"/>
  <c r="BK10" i="2"/>
  <c r="BK9" i="2"/>
  <c r="BK8" i="2"/>
  <c r="BK7" i="2"/>
  <c r="BK6" i="2"/>
  <c r="BK5" i="2"/>
  <c r="BK4" i="2"/>
  <c r="BK3" i="2"/>
  <c r="BK2" i="2"/>
  <c r="BK1" i="2"/>
  <c r="A29" i="1" l="1"/>
  <c r="AI123" i="2"/>
  <c r="AQ114" i="2"/>
  <c r="AR114" i="2" s="1"/>
  <c r="AQ113" i="2"/>
  <c r="AR113" i="2" s="1"/>
  <c r="AQ112" i="2"/>
  <c r="AR112" i="2" s="1"/>
  <c r="AQ111" i="2"/>
  <c r="AR111" i="2" s="1"/>
  <c r="AH119" i="2"/>
  <c r="AH118" i="2"/>
  <c r="AI118" i="2"/>
  <c r="AI119" i="2"/>
  <c r="AG124" i="2"/>
  <c r="AG122" i="2"/>
  <c r="AG123" i="2"/>
  <c r="AG121" i="2"/>
  <c r="AH121" i="2" s="1"/>
  <c r="AG120" i="2"/>
  <c r="AH120" i="2" s="1"/>
  <c r="AG119" i="2"/>
  <c r="AG118" i="2"/>
  <c r="AG117" i="2"/>
  <c r="AI120" i="2" l="1"/>
  <c r="AI121" i="2"/>
  <c r="AI122" i="2" l="1"/>
  <c r="Q16" i="1" s="1"/>
  <c r="Q3" i="1" l="1"/>
  <c r="P3" i="1"/>
  <c r="AI66" i="2"/>
  <c r="AK66" i="2" s="1"/>
  <c r="AL66" i="2" l="1"/>
  <c r="AM66" i="2"/>
  <c r="AJ66" i="2"/>
  <c r="AS102" i="2"/>
  <c r="AS101" i="2"/>
  <c r="AS100" i="2"/>
  <c r="AN102" i="2"/>
  <c r="AN101" i="2"/>
  <c r="AN100" i="2"/>
  <c r="AI100" i="2"/>
  <c r="AI102" i="2"/>
  <c r="AI101" i="2"/>
  <c r="BB9" i="2"/>
  <c r="BB8" i="2"/>
  <c r="BB7" i="2"/>
  <c r="AW21" i="2"/>
  <c r="AW20" i="2"/>
  <c r="AW19" i="2"/>
  <c r="AW15" i="2"/>
  <c r="AW14" i="2"/>
  <c r="AW13" i="2"/>
  <c r="AW9" i="2"/>
  <c r="AW8" i="2"/>
  <c r="AW7" i="2"/>
  <c r="AZ16" i="2"/>
  <c r="AZ10" i="2"/>
  <c r="AZ4" i="2"/>
  <c r="AN66" i="2" l="1"/>
  <c r="AO66" i="2"/>
  <c r="AP66" i="2" s="1"/>
  <c r="AJ43" i="2"/>
  <c r="AI43" i="2"/>
  <c r="AQ108" i="2" l="1"/>
  <c r="AR108" i="2" s="1"/>
  <c r="AP45" i="2"/>
  <c r="AO45" i="2"/>
  <c r="AM45" i="2"/>
  <c r="AL45" i="2"/>
  <c r="AJ45" i="2"/>
  <c r="AI45" i="2"/>
  <c r="AM44" i="2"/>
  <c r="AL44" i="2"/>
  <c r="AS43" i="2"/>
  <c r="AR43" i="2"/>
  <c r="AP44" i="2"/>
  <c r="AO44" i="2"/>
  <c r="AP43" i="2"/>
  <c r="AO43" i="2"/>
  <c r="AM43" i="2"/>
  <c r="AL43" i="2"/>
  <c r="AJ44" i="2"/>
  <c r="AI44" i="2"/>
  <c r="F12" i="1"/>
  <c r="E12" i="1"/>
  <c r="D12" i="1"/>
  <c r="F9" i="1"/>
  <c r="E9" i="1"/>
  <c r="D9" i="1"/>
  <c r="F6" i="1"/>
  <c r="E6" i="1"/>
  <c r="D6" i="1"/>
  <c r="AH41" i="2"/>
  <c r="AJ41" i="2"/>
  <c r="AW17" i="2"/>
  <c r="AY17" i="2" s="1"/>
  <c r="BB5" i="2"/>
  <c r="AW5" i="2"/>
  <c r="AW11" i="2"/>
  <c r="AY11" i="2" s="1"/>
  <c r="AL1" i="2"/>
  <c r="AJ1" i="2"/>
  <c r="AU81" i="2"/>
  <c r="AP97" i="2"/>
  <c r="AQ97" i="2"/>
  <c r="AR97" i="2"/>
  <c r="AQ96" i="2"/>
  <c r="AR96" i="2"/>
  <c r="AP96" i="2"/>
  <c r="AM97" i="2"/>
  <c r="AL97" i="2"/>
  <c r="AK97" i="2"/>
  <c r="AM96" i="2"/>
  <c r="AL96" i="2"/>
  <c r="AK96" i="2"/>
  <c r="AW49" i="2"/>
  <c r="AT49" i="2"/>
  <c r="AQ49" i="2"/>
  <c r="AN49" i="2"/>
  <c r="AK49" i="2"/>
  <c r="AH49" i="2"/>
  <c r="AF97" i="2"/>
  <c r="AX21" i="2"/>
  <c r="AX15" i="2"/>
  <c r="AX9" i="2"/>
  <c r="BC9" i="2"/>
  <c r="BC8" i="2"/>
  <c r="BC7" i="2"/>
  <c r="AG97" i="2"/>
  <c r="AH97" i="2"/>
  <c r="AG96" i="2"/>
  <c r="AH96" i="2"/>
  <c r="AF96" i="2"/>
  <c r="AR99" i="2" l="1"/>
  <c r="AQ106" i="2"/>
  <c r="AR106" i="2" s="1"/>
  <c r="AQ107" i="2"/>
  <c r="AR107" i="2" s="1"/>
  <c r="AH99" i="2"/>
  <c r="AL99" i="2"/>
  <c r="AG99" i="2"/>
  <c r="AQ98" i="2"/>
  <c r="AQ99" i="2" s="1"/>
  <c r="AM99" i="2"/>
  <c r="AF98" i="2"/>
  <c r="AF99" i="2" s="1"/>
  <c r="AL98" i="2"/>
  <c r="AH98" i="2"/>
  <c r="AG98" i="2"/>
  <c r="AR98" i="2"/>
  <c r="AK98" i="2"/>
  <c r="AP98" i="2"/>
  <c r="AP99" i="2" s="1"/>
  <c r="AM98" i="2"/>
  <c r="AX14" i="2"/>
  <c r="AY14" i="2" s="1"/>
  <c r="AZ14" i="2" s="1"/>
  <c r="BB16" i="2" s="1"/>
  <c r="AX13" i="2"/>
  <c r="AY13" i="2" s="1"/>
  <c r="AZ13" i="2" s="1"/>
  <c r="AX19" i="2"/>
  <c r="AY19" i="2" s="1"/>
  <c r="AZ19" i="2" s="1"/>
  <c r="AX20" i="2"/>
  <c r="AY20" i="2" s="1"/>
  <c r="AZ20" i="2" s="1"/>
  <c r="AY21" i="2"/>
  <c r="AZ21" i="2" s="1"/>
  <c r="AX8" i="2"/>
  <c r="AX7" i="2"/>
  <c r="AY15" i="2"/>
  <c r="AZ15" i="2" s="1"/>
  <c r="AJ4" i="2"/>
  <c r="AJ5" i="2"/>
  <c r="AJ6" i="2"/>
  <c r="AO4" i="2"/>
  <c r="AO5" i="2"/>
  <c r="AO6" i="2"/>
  <c r="AT4" i="2"/>
  <c r="AT5" i="2"/>
  <c r="AT6" i="2"/>
  <c r="Q13" i="1"/>
  <c r="Q10" i="1"/>
  <c r="Q7" i="1"/>
  <c r="AY5" i="2"/>
  <c r="BD5" i="2"/>
  <c r="BD9" i="2" s="1"/>
  <c r="AQ102" i="2" l="1"/>
  <c r="AQ100" i="2"/>
  <c r="AQ101" i="2"/>
  <c r="AP100" i="2"/>
  <c r="AP102" i="2"/>
  <c r="AP101" i="2"/>
  <c r="AR102" i="2"/>
  <c r="AR101" i="2"/>
  <c r="AR100" i="2"/>
  <c r="AM101" i="2"/>
  <c r="AM102" i="2"/>
  <c r="AM100" i="2"/>
  <c r="AL100" i="2"/>
  <c r="AL102" i="2"/>
  <c r="AL101" i="2"/>
  <c r="AK99" i="2"/>
  <c r="BD8" i="2"/>
  <c r="BD7" i="2"/>
  <c r="AY7" i="2"/>
  <c r="AZ7" i="2" s="1"/>
  <c r="AY8" i="2"/>
  <c r="AZ8" i="2" s="1"/>
  <c r="BB15" i="2" s="1"/>
  <c r="AY9" i="2"/>
  <c r="AZ9" i="2" s="1"/>
  <c r="AN41" i="2"/>
  <c r="AK41" i="2" s="1"/>
  <c r="AH33" i="2"/>
  <c r="AH34" i="2" s="1"/>
  <c r="E80" i="1"/>
  <c r="J34" i="1" s="1"/>
  <c r="E79" i="1"/>
  <c r="J33" i="1" s="1"/>
  <c r="E78" i="1"/>
  <c r="J32" i="1" s="1"/>
  <c r="E77" i="1"/>
  <c r="E76" i="1"/>
  <c r="AL57" i="2"/>
  <c r="AO57" i="2" s="1"/>
  <c r="AJ57" i="2"/>
  <c r="AL56" i="2"/>
  <c r="AM56" i="2" s="1"/>
  <c r="AJ56" i="2"/>
  <c r="J35" i="1" l="1"/>
  <c r="J39" i="1"/>
  <c r="J45" i="1"/>
  <c r="J37" i="1"/>
  <c r="J43" i="1"/>
  <c r="J41" i="1"/>
  <c r="J38" i="1"/>
  <c r="J46" i="1"/>
  <c r="J40" i="1"/>
  <c r="J44" i="1"/>
  <c r="J42" i="1"/>
  <c r="AI34" i="2"/>
  <c r="AJ34" i="2" s="1"/>
  <c r="AK34" i="2" s="1"/>
  <c r="AL34" i="2" s="1"/>
  <c r="AM34" i="2" s="1"/>
  <c r="AN34" i="2" s="1"/>
  <c r="AK102" i="2"/>
  <c r="AM105" i="2" s="1" a="1"/>
  <c r="AM105" i="2" s="1"/>
  <c r="AK101" i="2"/>
  <c r="AM104" i="2" s="1" a="1"/>
  <c r="AM104" i="2" s="1"/>
  <c r="AK100" i="2"/>
  <c r="AM103" i="2" s="1" a="1"/>
  <c r="AM103" i="2" s="1"/>
  <c r="AR103" i="2" a="1"/>
  <c r="AR103" i="2" s="1"/>
  <c r="AQ105" i="2" a="1"/>
  <c r="AQ105" i="2" s="1"/>
  <c r="AQ103" i="2" a="1"/>
  <c r="AQ103" i="2" s="1"/>
  <c r="AR105" i="2" a="1"/>
  <c r="AR105" i="2" s="1"/>
  <c r="AR104" i="2" a="1"/>
  <c r="AR104" i="2" s="1"/>
  <c r="AQ104" i="2" a="1"/>
  <c r="AQ104" i="2" s="1"/>
  <c r="AO56" i="2"/>
  <c r="AP56" i="2" s="1"/>
  <c r="AI33" i="2"/>
  <c r="AJ33" i="2" s="1"/>
  <c r="AK33" i="2" s="1"/>
  <c r="AR57" i="2"/>
  <c r="AP57" i="2"/>
  <c r="AM57" i="2"/>
  <c r="AI35" i="2" l="1"/>
  <c r="AJ35" i="2"/>
  <c r="AL104" i="2" a="1"/>
  <c r="AL104" i="2" s="1"/>
  <c r="AL103" i="2" a="1"/>
  <c r="AL103" i="2" s="1"/>
  <c r="AL105" i="2" a="1"/>
  <c r="AL105" i="2" s="1"/>
  <c r="AR56" i="2"/>
  <c r="AS56" i="2" s="1"/>
  <c r="AL33" i="2"/>
  <c r="AJ36" i="2" s="1"/>
  <c r="AI36" i="2"/>
  <c r="AO34" i="2"/>
  <c r="AL35" i="2" s="1"/>
  <c r="AU57" i="2"/>
  <c r="AS57" i="2"/>
  <c r="AU56" i="2" l="1"/>
  <c r="AX56" i="2" s="1"/>
  <c r="AY56" i="2" s="1"/>
  <c r="AP34" i="2"/>
  <c r="AM33" i="2"/>
  <c r="AN33" i="2" s="1"/>
  <c r="AO33" i="2" s="1"/>
  <c r="AV57" i="2"/>
  <c r="AX57" i="2"/>
  <c r="AY57" i="2" s="1"/>
  <c r="AV56" i="2" l="1"/>
  <c r="AQ34" i="2"/>
  <c r="AR34" i="2" s="1"/>
  <c r="AS34" i="2" s="1"/>
  <c r="AM35" i="2"/>
  <c r="AP33" i="2"/>
  <c r="AM36" i="2" s="1"/>
  <c r="AL36" i="2"/>
  <c r="AR15" i="2"/>
  <c r="AR14" i="2"/>
  <c r="AR13" i="2"/>
  <c r="AR12" i="2"/>
  <c r="AR11" i="2"/>
  <c r="AR10" i="2"/>
  <c r="AR9" i="2"/>
  <c r="AR8" i="2"/>
  <c r="AR6" i="2"/>
  <c r="AR5" i="2"/>
  <c r="AR4" i="2"/>
  <c r="AM15" i="2"/>
  <c r="AM14" i="2"/>
  <c r="AM13" i="2"/>
  <c r="AM12" i="2"/>
  <c r="AM11" i="2"/>
  <c r="AM16" i="2" s="1"/>
  <c r="AM10" i="2"/>
  <c r="AM9" i="2"/>
  <c r="AM8" i="2"/>
  <c r="AM6" i="2"/>
  <c r="AM5" i="2"/>
  <c r="AM4" i="2"/>
  <c r="AH15" i="2"/>
  <c r="AT14" i="2"/>
  <c r="AO14" i="2"/>
  <c r="AJ14" i="2"/>
  <c r="AH5" i="2"/>
  <c r="T12" i="2" l="1"/>
  <c r="T8" i="2"/>
  <c r="BT1" i="2"/>
  <c r="T35" i="2"/>
  <c r="BT3" i="2"/>
  <c r="BT11" i="2"/>
  <c r="BT19" i="2"/>
  <c r="BT27" i="2"/>
  <c r="BT35" i="2"/>
  <c r="BT43" i="2"/>
  <c r="BT51" i="2"/>
  <c r="BT59" i="2"/>
  <c r="BT67" i="2"/>
  <c r="BT75" i="2"/>
  <c r="BT13" i="2"/>
  <c r="BT37" i="2"/>
  <c r="BT53" i="2"/>
  <c r="BT69" i="2"/>
  <c r="BT34" i="2"/>
  <c r="BT4" i="2"/>
  <c r="BT12" i="2"/>
  <c r="BT20" i="2"/>
  <c r="BT28" i="2"/>
  <c r="BT36" i="2"/>
  <c r="BT44" i="2"/>
  <c r="BT52" i="2"/>
  <c r="BT60" i="2"/>
  <c r="BT68" i="2"/>
  <c r="BT5" i="2"/>
  <c r="BT21" i="2"/>
  <c r="BT29" i="2"/>
  <c r="BT45" i="2"/>
  <c r="BT61" i="2"/>
  <c r="BT18" i="2"/>
  <c r="BT50" i="2"/>
  <c r="BT6" i="2"/>
  <c r="BT14" i="2"/>
  <c r="BT22" i="2"/>
  <c r="BT30" i="2"/>
  <c r="BT38" i="2"/>
  <c r="BT46" i="2"/>
  <c r="BT54" i="2"/>
  <c r="BT62" i="2"/>
  <c r="BT70" i="2"/>
  <c r="BT10" i="2"/>
  <c r="BT58" i="2"/>
  <c r="BT7" i="2"/>
  <c r="BT15" i="2"/>
  <c r="BT23" i="2"/>
  <c r="BT31" i="2"/>
  <c r="BT39" i="2"/>
  <c r="BT47" i="2"/>
  <c r="BT55" i="2"/>
  <c r="BT63" i="2"/>
  <c r="BT71" i="2"/>
  <c r="BT16" i="2"/>
  <c r="BT32" i="2"/>
  <c r="BT48" i="2"/>
  <c r="BT64" i="2"/>
  <c r="BT49" i="2"/>
  <c r="BT73" i="2"/>
  <c r="BT26" i="2"/>
  <c r="BT74" i="2"/>
  <c r="BT8" i="2"/>
  <c r="BT24" i="2"/>
  <c r="BT40" i="2"/>
  <c r="BT56" i="2"/>
  <c r="BT72" i="2"/>
  <c r="BT65" i="2"/>
  <c r="BT42" i="2"/>
  <c r="BT9" i="2"/>
  <c r="BT17" i="2"/>
  <c r="BT25" i="2"/>
  <c r="BT33" i="2"/>
  <c r="BT41" i="2"/>
  <c r="BT57" i="2"/>
  <c r="BT2" i="2"/>
  <c r="BT66" i="2"/>
  <c r="T37" i="2"/>
  <c r="T18" i="2"/>
  <c r="AT9" i="2"/>
  <c r="AT7" i="2"/>
  <c r="AT8" i="2"/>
  <c r="AO9" i="2"/>
  <c r="AO8" i="2"/>
  <c r="AO7" i="2"/>
  <c r="AO35" i="2"/>
  <c r="AT34" i="2"/>
  <c r="AQ33" i="2"/>
  <c r="AR33" i="2" s="1"/>
  <c r="AS33" i="2" s="1"/>
  <c r="AG21" i="2"/>
  <c r="AG31" i="2"/>
  <c r="AG32" i="2"/>
  <c r="AG22" i="2"/>
  <c r="AH14" i="2"/>
  <c r="AH13" i="2"/>
  <c r="AH12" i="2"/>
  <c r="AH11" i="2"/>
  <c r="AH10" i="2"/>
  <c r="AH9" i="2"/>
  <c r="AH8" i="2"/>
  <c r="AH6" i="2"/>
  <c r="AH4" i="2"/>
  <c r="AI117" i="2" l="1"/>
  <c r="AG125" i="2" s="1"/>
  <c r="AI124" i="2" s="1"/>
  <c r="AG28" i="2"/>
  <c r="AJ9" i="2"/>
  <c r="AJ8" i="2"/>
  <c r="AJ7" i="2"/>
  <c r="AU34" i="2"/>
  <c r="AV34" i="2" s="1"/>
  <c r="AW34" i="2" s="1"/>
  <c r="AX34" i="2" s="1"/>
  <c r="AP35" i="2"/>
  <c r="AT33" i="2"/>
  <c r="AO36" i="2"/>
  <c r="AG54" i="2"/>
  <c r="AG51" i="2" s="1"/>
  <c r="AG38" i="2"/>
  <c r="AG55" i="2"/>
  <c r="AG52" i="2" s="1"/>
  <c r="AG39" i="2"/>
  <c r="AG20" i="2"/>
  <c r="J29" i="1"/>
  <c r="J26" i="1"/>
  <c r="J22" i="1" s="1"/>
  <c r="E75" i="1"/>
  <c r="A26" i="1"/>
  <c r="E87" i="1" s="1"/>
  <c r="E90" i="1" s="1"/>
  <c r="B30" i="1" l="1"/>
  <c r="AI125" i="2"/>
  <c r="C30" i="1" s="1"/>
  <c r="AG47" i="2"/>
  <c r="AG60" i="2"/>
  <c r="AG64" i="2" s="1"/>
  <c r="AG48" i="2"/>
  <c r="AG61" i="2"/>
  <c r="AG53" i="2"/>
  <c r="AG50" i="2" s="1"/>
  <c r="AG30" i="2"/>
  <c r="AG37" i="2"/>
  <c r="AU33" i="2"/>
  <c r="AV33" i="2" s="1"/>
  <c r="AW33" i="2" s="1"/>
  <c r="AX33" i="2" s="1"/>
  <c r="AP36" i="2"/>
  <c r="A23" i="1"/>
  <c r="A20" i="1"/>
  <c r="E74" i="1"/>
  <c r="D74" i="1"/>
  <c r="J28" i="1"/>
  <c r="J27" i="1"/>
  <c r="J30" i="1" s="1"/>
  <c r="J25" i="1"/>
  <c r="J21" i="1" s="1"/>
  <c r="J24" i="1"/>
  <c r="J20" i="1" s="1"/>
  <c r="J36" i="1" l="1"/>
  <c r="J31" i="1"/>
  <c r="AG46" i="2"/>
  <c r="AG59" i="2"/>
  <c r="AG63" i="2" s="1"/>
  <c r="E86" i="1"/>
  <c r="E89" i="1" s="1"/>
  <c r="E82" i="1"/>
  <c r="E84" i="1" s="1"/>
  <c r="E81" i="1"/>
  <c r="E83" i="1" s="1"/>
  <c r="E85" i="1"/>
  <c r="E88" i="1" s="1"/>
  <c r="T4" i="2"/>
  <c r="T20" i="2"/>
  <c r="T1" i="2"/>
  <c r="T24" i="2"/>
  <c r="AF4" i="2"/>
  <c r="T32" i="2"/>
  <c r="T14" i="2"/>
  <c r="T28" i="2"/>
  <c r="T9" i="2"/>
  <c r="T17" i="2"/>
  <c r="T23" i="2"/>
  <c r="T13" i="2"/>
  <c r="T10" i="2"/>
  <c r="T6" i="2"/>
  <c r="T30" i="2"/>
  <c r="T22" i="2"/>
  <c r="T3" i="2"/>
  <c r="T5" i="2"/>
  <c r="T26" i="2"/>
  <c r="T29" i="2"/>
  <c r="AP4" i="2"/>
  <c r="T2" i="2"/>
  <c r="T25" i="2"/>
  <c r="T21" i="2"/>
  <c r="AK4" i="2"/>
  <c r="T27" i="2"/>
  <c r="T19" i="2"/>
  <c r="T11" i="2"/>
  <c r="T15" i="2"/>
  <c r="T16" i="2"/>
  <c r="T33" i="2"/>
  <c r="T36" i="2"/>
  <c r="AM7" i="2" l="1"/>
  <c r="AH7" i="2"/>
  <c r="AH16" i="2" s="1"/>
  <c r="AR7" i="2"/>
  <c r="AR16" i="2" s="1"/>
  <c r="AJ12" i="2" l="1"/>
  <c r="AJ10" i="2"/>
  <c r="AJ11" i="2"/>
  <c r="AO11" i="2"/>
  <c r="AO12" i="2"/>
  <c r="AO10" i="2"/>
  <c r="AT12" i="2"/>
  <c r="AT11" i="2"/>
  <c r="AT10" i="2"/>
  <c r="AO13" i="2" l="1"/>
  <c r="AJ13" i="2"/>
  <c r="AT13" i="2"/>
  <c r="AT15" i="2" l="1"/>
  <c r="C27" i="1" s="1"/>
  <c r="AU16" i="2"/>
  <c r="AU15" i="2"/>
  <c r="AO15" i="2"/>
  <c r="C24" i="1" s="1"/>
  <c r="AP15" i="2"/>
  <c r="AP16" i="2"/>
  <c r="AJ15" i="2"/>
  <c r="C21" i="1" s="1"/>
  <c r="AK15" i="2"/>
  <c r="AK16" i="2"/>
  <c r="AH20" i="2" s="1"/>
  <c r="AO16" i="2"/>
  <c r="AJ16" i="2"/>
  <c r="AT16" i="2"/>
  <c r="AL22" i="2" l="1"/>
  <c r="AN22" i="2" s="1"/>
  <c r="AP22" i="2" s="1"/>
  <c r="AR22" i="2" s="1"/>
  <c r="AJ22" i="2"/>
  <c r="AH22" i="2"/>
  <c r="AL21" i="2"/>
  <c r="AN21" i="2" s="1"/>
  <c r="AP21" i="2" s="1"/>
  <c r="AR21" i="2" s="1"/>
  <c r="AJ21" i="2"/>
  <c r="AH21" i="2"/>
  <c r="AL20" i="2"/>
  <c r="AN20" i="2" s="1"/>
  <c r="AP20" i="2" s="1"/>
  <c r="AR20" i="2" s="1"/>
  <c r="AJ20" i="2"/>
  <c r="B24" i="1"/>
  <c r="B21" i="1"/>
  <c r="B27" i="1"/>
  <c r="AP23" i="2" l="1"/>
  <c r="AQ23" i="2" s="1"/>
  <c r="AL23" i="2"/>
  <c r="AM23" i="2" s="1"/>
  <c r="AJ23" i="2"/>
  <c r="AK23" i="2" s="1"/>
  <c r="AJ24" i="2"/>
  <c r="AJ25" i="2"/>
  <c r="AR24" i="2"/>
  <c r="AR25" i="2"/>
  <c r="AH25" i="2"/>
  <c r="AN24" i="2"/>
  <c r="AP24" i="2"/>
  <c r="AH23" i="2"/>
  <c r="AI23" i="2" s="1"/>
  <c r="AN25" i="2"/>
  <c r="AR23" i="2"/>
  <c r="AS23" i="2" s="1"/>
  <c r="AN23" i="2"/>
  <c r="AO23" i="2" s="1"/>
  <c r="AL25" i="2"/>
  <c r="AL24" i="2"/>
  <c r="AP25" i="2"/>
  <c r="AH24" i="2"/>
  <c r="AQ24" i="2" l="1"/>
  <c r="AQ25" i="2" s="1"/>
  <c r="AQ22" i="2" s="1"/>
  <c r="AT32" i="2" s="1"/>
  <c r="AM24" i="2"/>
  <c r="AM25" i="2" s="1"/>
  <c r="AM22" i="2" s="1"/>
  <c r="AN32" i="2" s="1"/>
  <c r="AK24" i="2"/>
  <c r="AK25" i="2" s="1"/>
  <c r="AK21" i="2" s="1"/>
  <c r="AK31" i="2" s="1"/>
  <c r="AK51" i="2" s="1"/>
  <c r="AM51" i="2" s="1"/>
  <c r="AI24" i="2"/>
  <c r="AI25" i="2" s="1"/>
  <c r="AI21" i="2" s="1"/>
  <c r="AH31" i="2" s="1"/>
  <c r="AS24" i="2"/>
  <c r="AS25" i="2" s="1"/>
  <c r="AS21" i="2" s="1"/>
  <c r="AW31" i="2" s="1"/>
  <c r="AY31" i="2" s="1"/>
  <c r="P21" i="1" s="1"/>
  <c r="AO24" i="2"/>
  <c r="AO25" i="2" s="1"/>
  <c r="AO21" i="2" s="1"/>
  <c r="AQ31" i="2" s="1"/>
  <c r="AQ51" i="2" s="1"/>
  <c r="AQ21" i="2"/>
  <c r="AT31" i="2" s="1"/>
  <c r="AV31" i="2" s="1"/>
  <c r="O21" i="1" s="1"/>
  <c r="G74" i="1"/>
  <c r="AQ20" i="2" l="1"/>
  <c r="AT28" i="2" s="1"/>
  <c r="AU28" i="2" s="1"/>
  <c r="AV28" i="2" s="1"/>
  <c r="AK20" i="2"/>
  <c r="AK28" i="2" s="1"/>
  <c r="AL28" i="2" s="1"/>
  <c r="AM28" i="2" s="1"/>
  <c r="AS20" i="2"/>
  <c r="AW28" i="2" s="1"/>
  <c r="AX28" i="2" s="1"/>
  <c r="AY28" i="2" s="1"/>
  <c r="AL51" i="2"/>
  <c r="AM54" i="2" s="1"/>
  <c r="L28" i="1" s="1"/>
  <c r="AL31" i="2"/>
  <c r="AM31" i="2"/>
  <c r="AM47" i="2" s="1"/>
  <c r="G86" i="1" s="1"/>
  <c r="G84" i="1" s="1"/>
  <c r="AK22" i="2"/>
  <c r="AK32" i="2" s="1"/>
  <c r="AL32" i="2" s="1"/>
  <c r="AI22" i="2"/>
  <c r="AH32" i="2" s="1"/>
  <c r="AI32" i="2" s="1"/>
  <c r="AO22" i="2"/>
  <c r="AQ32" i="2" s="1"/>
  <c r="AR32" i="2" s="1"/>
  <c r="AO20" i="2"/>
  <c r="AQ28" i="2" s="1"/>
  <c r="AR28" i="2" s="1"/>
  <c r="AS28" i="2" s="1"/>
  <c r="AI20" i="2"/>
  <c r="AH28" i="2" s="1"/>
  <c r="AI28" i="2" s="1"/>
  <c r="AJ28" i="2" s="1"/>
  <c r="AX31" i="2"/>
  <c r="AW51" i="2"/>
  <c r="AX51" i="2" s="1"/>
  <c r="AS22" i="2"/>
  <c r="AW32" i="2" s="1"/>
  <c r="AX32" i="2" s="1"/>
  <c r="AU31" i="2"/>
  <c r="AT51" i="2"/>
  <c r="AU51" i="2" s="1"/>
  <c r="AM20" i="2"/>
  <c r="AN28" i="2" s="1"/>
  <c r="AR31" i="2"/>
  <c r="AS31" i="2"/>
  <c r="I74" i="1"/>
  <c r="AM21" i="2"/>
  <c r="AN31" i="2" s="1"/>
  <c r="I75" i="1"/>
  <c r="AN52" i="2"/>
  <c r="AP32" i="2"/>
  <c r="M22" i="1" s="1"/>
  <c r="AO32" i="2"/>
  <c r="AS51" i="2"/>
  <c r="F24" i="1" s="1"/>
  <c r="AR51" i="2"/>
  <c r="AV32" i="2"/>
  <c r="O22" i="1" s="1"/>
  <c r="AT52" i="2"/>
  <c r="AU32" i="2"/>
  <c r="AH51" i="2"/>
  <c r="AJ31" i="2"/>
  <c r="AI85" i="2" s="1"/>
  <c r="K31" i="1" s="1"/>
  <c r="AI31" i="2"/>
  <c r="AT30" i="2" l="1"/>
  <c r="AT50" i="2" s="1"/>
  <c r="AK30" i="2"/>
  <c r="AL30" i="2" s="1"/>
  <c r="AW30" i="2"/>
  <c r="AW50" i="2" s="1"/>
  <c r="AW52" i="2"/>
  <c r="AY52" i="2" s="1"/>
  <c r="AL81" i="2"/>
  <c r="L46" i="1" s="1"/>
  <c r="AL54" i="2"/>
  <c r="L25" i="1" s="1"/>
  <c r="AJ32" i="2"/>
  <c r="K22" i="1" s="1"/>
  <c r="AQ30" i="2"/>
  <c r="AS30" i="2" s="1"/>
  <c r="N20" i="1" s="1"/>
  <c r="AL78" i="2"/>
  <c r="L44" i="1" s="1"/>
  <c r="AL85" i="2"/>
  <c r="L31" i="1" s="1"/>
  <c r="N21" i="1"/>
  <c r="AR85" i="2"/>
  <c r="N31" i="1" s="1"/>
  <c r="AK52" i="2"/>
  <c r="AL52" i="2" s="1"/>
  <c r="AM64" i="2"/>
  <c r="L36" i="1" s="1"/>
  <c r="L21" i="1"/>
  <c r="AL72" i="2"/>
  <c r="L40" i="1" s="1"/>
  <c r="AJ64" i="2"/>
  <c r="K36" i="1" s="1"/>
  <c r="K21" i="1"/>
  <c r="AM38" i="2"/>
  <c r="G79" i="1" s="1"/>
  <c r="AL69" i="2"/>
  <c r="L38" i="1" s="1"/>
  <c r="AN47" i="2"/>
  <c r="G89" i="1" s="1"/>
  <c r="AM32" i="2"/>
  <c r="L22" i="1" s="1"/>
  <c r="AL47" i="2"/>
  <c r="G82" i="1" s="1"/>
  <c r="AL75" i="2"/>
  <c r="L42" i="1" s="1"/>
  <c r="AL60" i="2"/>
  <c r="L33" i="1" s="1"/>
  <c r="AL38" i="2"/>
  <c r="G77" i="1" s="1"/>
  <c r="AY32" i="2"/>
  <c r="P22" i="1" s="1"/>
  <c r="AP31" i="2"/>
  <c r="AO85" i="2" s="1"/>
  <c r="M31" i="1" s="1"/>
  <c r="AY51" i="2"/>
  <c r="AY54" i="2" s="1"/>
  <c r="P28" i="1" s="1"/>
  <c r="AH52" i="2"/>
  <c r="AJ52" i="2" s="1"/>
  <c r="AQ52" i="2"/>
  <c r="AR52" i="2" s="1"/>
  <c r="AS32" i="2"/>
  <c r="N22" i="1" s="1"/>
  <c r="AH30" i="2"/>
  <c r="AH50" i="2" s="1"/>
  <c r="AR81" i="2"/>
  <c r="N46" i="1" s="1"/>
  <c r="AR72" i="2"/>
  <c r="N40" i="1" s="1"/>
  <c r="AR69" i="2"/>
  <c r="N38" i="1" s="1"/>
  <c r="AR75" i="2"/>
  <c r="N42" i="1" s="1"/>
  <c r="AR78" i="2"/>
  <c r="N44" i="1" s="1"/>
  <c r="AI72" i="2"/>
  <c r="K40" i="1" s="1"/>
  <c r="AI81" i="2"/>
  <c r="K46" i="1" s="1"/>
  <c r="AI75" i="2"/>
  <c r="K42" i="1" s="1"/>
  <c r="AI69" i="2"/>
  <c r="K38" i="1" s="1"/>
  <c r="AI78" i="2"/>
  <c r="K44" i="1" s="1"/>
  <c r="AR47" i="2"/>
  <c r="I82" i="1" s="1"/>
  <c r="AK47" i="2"/>
  <c r="F89" i="1" s="1"/>
  <c r="AJ60" i="2"/>
  <c r="K33" i="1" s="1"/>
  <c r="AJ47" i="2"/>
  <c r="F86" i="1" s="1"/>
  <c r="F84" i="1" s="1"/>
  <c r="AJ38" i="2"/>
  <c r="F79" i="1" s="1"/>
  <c r="AI38" i="2"/>
  <c r="F77" i="1" s="1"/>
  <c r="AI47" i="2"/>
  <c r="F82" i="1" s="1"/>
  <c r="AQ48" i="2"/>
  <c r="H90" i="1" s="1"/>
  <c r="AP48" i="2"/>
  <c r="H87" i="1" s="1"/>
  <c r="AP39" i="2"/>
  <c r="H80" i="1" s="1"/>
  <c r="AV51" i="2"/>
  <c r="AV54" i="2" s="1"/>
  <c r="O28" i="1" s="1"/>
  <c r="AS54" i="2"/>
  <c r="N28" i="1" s="1"/>
  <c r="AR54" i="2"/>
  <c r="N25" i="1" s="1"/>
  <c r="G75" i="1"/>
  <c r="AO28" i="2"/>
  <c r="AP28" i="2" s="1"/>
  <c r="AN30" i="2"/>
  <c r="AN51" i="2"/>
  <c r="AP51" i="2" s="1"/>
  <c r="AO31" i="2"/>
  <c r="F75" i="1"/>
  <c r="H74" i="1"/>
  <c r="H75" i="1"/>
  <c r="F74" i="1"/>
  <c r="AI51" i="2"/>
  <c r="AJ51" i="2"/>
  <c r="AV52" i="2"/>
  <c r="F30" i="1" s="1"/>
  <c r="AU52" i="2"/>
  <c r="AO52" i="2"/>
  <c r="AP52" i="2"/>
  <c r="D27" i="1" s="1"/>
  <c r="AU30" i="2" l="1"/>
  <c r="AV30" i="2"/>
  <c r="O20" i="1" s="1"/>
  <c r="AM30" i="2"/>
  <c r="AL84" i="2" s="1"/>
  <c r="L30" i="1" s="1"/>
  <c r="AK50" i="2"/>
  <c r="AY30" i="2"/>
  <c r="P20" i="1" s="1"/>
  <c r="AX30" i="2"/>
  <c r="AR30" i="2"/>
  <c r="AR74" i="2"/>
  <c r="N41" i="1" s="1"/>
  <c r="AR80" i="2"/>
  <c r="N45" i="1" s="1"/>
  <c r="AX52" i="2"/>
  <c r="AY55" i="2" s="1"/>
  <c r="P29" i="1" s="1"/>
  <c r="AJ39" i="2"/>
  <c r="F80" i="1" s="1"/>
  <c r="AJ48" i="2"/>
  <c r="F87" i="1" s="1"/>
  <c r="AJ61" i="2"/>
  <c r="K34" i="1" s="1"/>
  <c r="AK48" i="2"/>
  <c r="F90" i="1" s="1"/>
  <c r="AR71" i="2"/>
  <c r="N39" i="1" s="1"/>
  <c r="AR68" i="2"/>
  <c r="N37" i="1" s="1"/>
  <c r="AR46" i="2"/>
  <c r="I81" i="1" s="1"/>
  <c r="AQ50" i="2"/>
  <c r="AR77" i="2"/>
  <c r="N43" i="1" s="1"/>
  <c r="AM52" i="2"/>
  <c r="AL55" i="2" s="1"/>
  <c r="L26" i="1" s="1"/>
  <c r="AN48" i="2"/>
  <c r="G90" i="1" s="1"/>
  <c r="AR84" i="2"/>
  <c r="N30" i="1" s="1"/>
  <c r="AX54" i="2"/>
  <c r="P25" i="1" s="1"/>
  <c r="AQ47" i="2"/>
  <c r="AM39" i="2"/>
  <c r="G80" i="1" s="1"/>
  <c r="AM48" i="2"/>
  <c r="G87" i="1" s="1"/>
  <c r="AL61" i="2"/>
  <c r="L34" i="1" s="1"/>
  <c r="AS52" i="2"/>
  <c r="F27" i="1" s="1"/>
  <c r="AP64" i="2"/>
  <c r="M36" i="1" s="1"/>
  <c r="M21" i="1"/>
  <c r="AO75" i="2"/>
  <c r="M42" i="1" s="1"/>
  <c r="AO81" i="2"/>
  <c r="M46" i="1" s="1"/>
  <c r="AO47" i="2"/>
  <c r="H82" i="1" s="1"/>
  <c r="AO69" i="2"/>
  <c r="M38" i="1" s="1"/>
  <c r="AP47" i="2"/>
  <c r="H86" i="1" s="1"/>
  <c r="H84" i="1" s="1"/>
  <c r="AO38" i="2"/>
  <c r="H77" i="1" s="1"/>
  <c r="AI52" i="2"/>
  <c r="AI55" i="2" s="1"/>
  <c r="K26" i="1" s="1"/>
  <c r="AP38" i="2"/>
  <c r="H79" i="1" s="1"/>
  <c r="AO78" i="2"/>
  <c r="M44" i="1" s="1"/>
  <c r="AO72" i="2"/>
  <c r="M40" i="1" s="1"/>
  <c r="AJ30" i="2"/>
  <c r="AI30" i="2"/>
  <c r="AL80" i="2"/>
  <c r="L45" i="1" s="1"/>
  <c r="AU54" i="2"/>
  <c r="O25" i="1" s="1"/>
  <c r="AI54" i="2"/>
  <c r="K25" i="1" s="1"/>
  <c r="AJ54" i="2"/>
  <c r="K28" i="1" s="1"/>
  <c r="AV55" i="2"/>
  <c r="O29" i="1" s="1"/>
  <c r="AU55" i="2"/>
  <c r="O26" i="1" s="1"/>
  <c r="AP55" i="2"/>
  <c r="M29" i="1" s="1"/>
  <c r="AO55" i="2"/>
  <c r="M26" i="1" s="1"/>
  <c r="D24" i="1"/>
  <c r="AN50" i="2"/>
  <c r="AO30" i="2"/>
  <c r="AP30" i="2"/>
  <c r="AO84" i="2" s="1"/>
  <c r="M30" i="1" s="1"/>
  <c r="AO51" i="2"/>
  <c r="AL59" i="2" l="1"/>
  <c r="L32" i="1" s="1"/>
  <c r="AM63" i="2"/>
  <c r="L35" i="1" s="1"/>
  <c r="AL71" i="2"/>
  <c r="L39" i="1" s="1"/>
  <c r="AL68" i="2"/>
  <c r="L37" i="1" s="1"/>
  <c r="AL77" i="2"/>
  <c r="L43" i="1" s="1"/>
  <c r="AL46" i="2"/>
  <c r="G81" i="1" s="1"/>
  <c r="AM46" i="2"/>
  <c r="G85" i="1" s="1"/>
  <c r="G83" i="1" s="1"/>
  <c r="AM37" i="2"/>
  <c r="G78" i="1" s="1"/>
  <c r="AN46" i="2"/>
  <c r="G88" i="1" s="1"/>
  <c r="AL37" i="2"/>
  <c r="G76" i="1" s="1"/>
  <c r="AL74" i="2"/>
  <c r="L41" i="1" s="1"/>
  <c r="L20" i="1"/>
  <c r="AX55" i="2"/>
  <c r="P26" i="1" s="1"/>
  <c r="H89" i="1"/>
  <c r="AS55" i="2"/>
  <c r="N29" i="1" s="1"/>
  <c r="AM55" i="2"/>
  <c r="L29" i="1" s="1"/>
  <c r="AR55" i="2"/>
  <c r="N26" i="1" s="1"/>
  <c r="K20" i="1"/>
  <c r="AI84" i="2"/>
  <c r="K30" i="1" s="1"/>
  <c r="AP63" i="2"/>
  <c r="M35" i="1" s="1"/>
  <c r="M20" i="1"/>
  <c r="AJ55" i="2"/>
  <c r="K29" i="1" s="1"/>
  <c r="AI68" i="2"/>
  <c r="K37" i="1" s="1"/>
  <c r="AJ63" i="2"/>
  <c r="K35" i="1" s="1"/>
  <c r="AI74" i="2"/>
  <c r="K41" i="1" s="1"/>
  <c r="AJ37" i="2"/>
  <c r="F78" i="1" s="1"/>
  <c r="AI80" i="2"/>
  <c r="K45" i="1" s="1"/>
  <c r="AI46" i="2"/>
  <c r="F81" i="1" s="1"/>
  <c r="AJ46" i="2"/>
  <c r="F85" i="1" s="1"/>
  <c r="F83" i="1" s="1"/>
  <c r="AI77" i="2"/>
  <c r="K43" i="1" s="1"/>
  <c r="AI71" i="2"/>
  <c r="K39" i="1" s="1"/>
  <c r="AJ59" i="2"/>
  <c r="K32" i="1" s="1"/>
  <c r="AK46" i="2"/>
  <c r="F88" i="1" s="1"/>
  <c r="AI37" i="2"/>
  <c r="F76" i="1" s="1"/>
  <c r="AO71" i="2"/>
  <c r="M39" i="1" s="1"/>
  <c r="AO68" i="2"/>
  <c r="M37" i="1" s="1"/>
  <c r="AO80" i="2"/>
  <c r="M45" i="1" s="1"/>
  <c r="AO77" i="2"/>
  <c r="M43" i="1" s="1"/>
  <c r="AO74" i="2"/>
  <c r="M41" i="1" s="1"/>
  <c r="AP37" i="2"/>
  <c r="H78" i="1" s="1"/>
  <c r="AO37" i="2"/>
  <c r="H76" i="1" s="1"/>
  <c r="AQ46" i="2"/>
  <c r="H88" i="1" s="1"/>
  <c r="AO46" i="2"/>
  <c r="H81" i="1" s="1"/>
  <c r="AP46" i="2"/>
  <c r="H85" i="1" s="1"/>
  <c r="AP54" i="2"/>
  <c r="M28" i="1" s="1"/>
  <c r="AO54" i="2"/>
  <c r="M25" i="1" s="1"/>
  <c r="H83" i="1" l="1"/>
  <c r="AF101" i="2" l="1"/>
  <c r="AH101" i="2"/>
  <c r="AG101" i="2"/>
  <c r="AG102" i="2"/>
  <c r="AH102" i="2"/>
  <c r="AF102" i="2"/>
  <c r="AG104" i="2" l="1" a="1"/>
  <c r="AG104" i="2" s="1"/>
  <c r="AG105" i="2" a="1"/>
  <c r="AG105" i="2" s="1"/>
  <c r="AH104" i="2" a="1"/>
  <c r="AH104" i="2" s="1"/>
  <c r="AH105" i="2" a="1"/>
  <c r="AH105" i="2" s="1"/>
  <c r="AG100" i="2"/>
  <c r="AH100" i="2"/>
  <c r="AF100" i="2"/>
  <c r="AH103" i="2" l="1" a="1"/>
  <c r="AH103" i="2" s="1"/>
  <c r="AV50" i="2" s="1"/>
  <c r="AG103" i="2" a="1"/>
  <c r="AG103" i="2" s="1"/>
  <c r="AY50" i="2" l="1"/>
  <c r="AM50" i="2"/>
  <c r="AS50" i="2"/>
  <c r="F21" i="1" s="1"/>
  <c r="AJ50" i="2"/>
  <c r="AP50" i="2"/>
  <c r="D21" i="1" s="1"/>
  <c r="AR50" i="2"/>
  <c r="AU50" i="2"/>
  <c r="AX50" i="2"/>
  <c r="AL50" i="2"/>
  <c r="AO50" i="2"/>
  <c r="AI50" i="2"/>
  <c r="AV53" i="2" l="1"/>
  <c r="O27" i="1" s="1"/>
  <c r="AU53" i="2"/>
  <c r="O24" i="1" s="1"/>
  <c r="AY53" i="2"/>
  <c r="P27" i="1" s="1"/>
  <c r="AX53" i="2"/>
  <c r="P24" i="1" s="1"/>
  <c r="AI53" i="2"/>
  <c r="K24" i="1" s="1"/>
  <c r="AJ53" i="2"/>
  <c r="K27" i="1" s="1"/>
  <c r="AS53" i="2"/>
  <c r="N27" i="1" s="1"/>
  <c r="AR53" i="2"/>
  <c r="N24" i="1" s="1"/>
  <c r="AO53" i="2"/>
  <c r="M24" i="1" s="1"/>
  <c r="AP53" i="2"/>
  <c r="M27" i="1" s="1"/>
  <c r="AM53" i="2"/>
  <c r="L27" i="1" s="1"/>
  <c r="AL53" i="2"/>
  <c r="L24" i="1" s="1"/>
  <c r="E6" i="3" l="1"/>
  <c r="E7" i="3" s="1"/>
</calcChain>
</file>

<file path=xl/sharedStrings.xml><?xml version="1.0" encoding="utf-8"?>
<sst xmlns="http://schemas.openxmlformats.org/spreadsheetml/2006/main" count="770" uniqueCount="450">
  <si>
    <t>战斗机</t>
    <phoneticPr fontId="1" type="noConversion"/>
  </si>
  <si>
    <t>轰炸机</t>
    <phoneticPr fontId="1" type="noConversion"/>
  </si>
  <si>
    <t>鱼雷机</t>
    <phoneticPr fontId="1" type="noConversion"/>
  </si>
  <si>
    <t>设备1</t>
    <phoneticPr fontId="1" type="noConversion"/>
  </si>
  <si>
    <t>设备2</t>
    <phoneticPr fontId="1" type="noConversion"/>
  </si>
  <si>
    <t>科技+猫</t>
    <phoneticPr fontId="1" type="noConversion"/>
  </si>
  <si>
    <t>好感度</t>
    <phoneticPr fontId="1" type="noConversion"/>
  </si>
  <si>
    <t>是</t>
    <phoneticPr fontId="1" type="noConversion"/>
  </si>
  <si>
    <t>否</t>
    <phoneticPr fontId="1" type="noConversion"/>
  </si>
  <si>
    <t>毗沙丸</t>
    <phoneticPr fontId="1" type="noConversion"/>
  </si>
  <si>
    <t>莫里喵</t>
    <phoneticPr fontId="1" type="noConversion"/>
  </si>
  <si>
    <t>注意事项：</t>
    <phoneticPr fontId="1" type="noConversion"/>
  </si>
  <si>
    <t>手动输入</t>
    <phoneticPr fontId="1" type="noConversion"/>
  </si>
  <si>
    <t>自动输出</t>
    <phoneticPr fontId="1" type="noConversion"/>
  </si>
  <si>
    <t>否</t>
  </si>
  <si>
    <t>标准轮</t>
    <phoneticPr fontId="1" type="noConversion"/>
  </si>
  <si>
    <t>好感度</t>
    <phoneticPr fontId="1" type="noConversion"/>
  </si>
  <si>
    <t>指挥猫</t>
    <phoneticPr fontId="1" type="noConversion"/>
  </si>
  <si>
    <t>战斗机</t>
    <phoneticPr fontId="1" type="noConversion"/>
  </si>
  <si>
    <t>轰炸机</t>
    <phoneticPr fontId="1" type="noConversion"/>
  </si>
  <si>
    <t>鱼雷机</t>
    <phoneticPr fontId="1" type="noConversion"/>
  </si>
  <si>
    <t>无飞机</t>
    <phoneticPr fontId="1" type="noConversion"/>
  </si>
  <si>
    <t>战/轰/鱼</t>
    <phoneticPr fontId="1" type="noConversion"/>
  </si>
  <si>
    <t>战/轰</t>
    <phoneticPr fontId="1" type="noConversion"/>
  </si>
  <si>
    <t>队内卡萨</t>
    <phoneticPr fontId="1" type="noConversion"/>
  </si>
  <si>
    <t>装填技能1</t>
    <phoneticPr fontId="1" type="noConversion"/>
  </si>
  <si>
    <t>装填技能2</t>
    <phoneticPr fontId="1" type="noConversion"/>
  </si>
  <si>
    <t>首轮加速</t>
    <phoneticPr fontId="1" type="noConversion"/>
  </si>
  <si>
    <t>加速技能</t>
    <phoneticPr fontId="1" type="noConversion"/>
  </si>
  <si>
    <t>基本数据表</t>
    <phoneticPr fontId="1" type="noConversion"/>
  </si>
  <si>
    <t>下拉选择</t>
  </si>
  <si>
    <t>下拉选择</t>
    <phoneticPr fontId="1" type="noConversion"/>
  </si>
  <si>
    <t>长门BUFF</t>
    <phoneticPr fontId="1" type="noConversion"/>
  </si>
  <si>
    <t>首轮</t>
    <phoneticPr fontId="1" type="noConversion"/>
  </si>
  <si>
    <t>对轴结果表</t>
    <phoneticPr fontId="1" type="noConversion"/>
  </si>
  <si>
    <t>海妈旧轴</t>
    <phoneticPr fontId="1" type="noConversion"/>
  </si>
  <si>
    <t>海妈新轴</t>
    <phoneticPr fontId="1" type="noConversion"/>
  </si>
  <si>
    <t>被拐对象</t>
    <phoneticPr fontId="1" type="noConversion"/>
  </si>
  <si>
    <t>拐</t>
    <phoneticPr fontId="1" type="noConversion"/>
  </si>
  <si>
    <t>818减速</t>
    <phoneticPr fontId="1" type="noConversion"/>
  </si>
  <si>
    <t>海妈对轴</t>
    <phoneticPr fontId="1" type="noConversion"/>
  </si>
  <si>
    <t>目标站位</t>
    <phoneticPr fontId="1" type="noConversion"/>
  </si>
  <si>
    <t>第三轮舰爆命中时间</t>
    <phoneticPr fontId="1" type="noConversion"/>
  </si>
  <si>
    <t>1.制空权丧失</t>
    <phoneticPr fontId="1" type="noConversion"/>
  </si>
  <si>
    <t>2.制空权劣势</t>
    <phoneticPr fontId="1" type="noConversion"/>
  </si>
  <si>
    <t>3.势均力敌</t>
    <phoneticPr fontId="1" type="noConversion"/>
  </si>
  <si>
    <t>4.制空权优势</t>
    <phoneticPr fontId="1" type="noConversion"/>
  </si>
  <si>
    <t>5.制空权确保</t>
    <phoneticPr fontId="1" type="noConversion"/>
  </si>
  <si>
    <t>鱼雷机</t>
  </si>
  <si>
    <t>战斗机</t>
  </si>
  <si>
    <t>信浓</t>
    <phoneticPr fontId="1" type="noConversion"/>
  </si>
  <si>
    <t>大凤</t>
    <phoneticPr fontId="1" type="noConversion"/>
  </si>
  <si>
    <t>赤城</t>
    <phoneticPr fontId="1" type="noConversion"/>
  </si>
  <si>
    <t>加贺</t>
    <phoneticPr fontId="1" type="noConversion"/>
  </si>
  <si>
    <t>翔鹤</t>
    <phoneticPr fontId="1" type="noConversion"/>
  </si>
  <si>
    <t>瑞鹤</t>
    <phoneticPr fontId="1" type="noConversion"/>
  </si>
  <si>
    <t>光辉</t>
    <phoneticPr fontId="1" type="noConversion"/>
  </si>
  <si>
    <t>胜利</t>
    <phoneticPr fontId="1" type="noConversion"/>
  </si>
  <si>
    <t>可畏</t>
    <phoneticPr fontId="1" type="noConversion"/>
  </si>
  <si>
    <t>半人马</t>
    <phoneticPr fontId="1" type="noConversion"/>
  </si>
  <si>
    <t>萨拉托加</t>
    <phoneticPr fontId="1" type="noConversion"/>
  </si>
  <si>
    <t>企业</t>
    <phoneticPr fontId="1" type="noConversion"/>
  </si>
  <si>
    <t>埃塞克斯</t>
    <phoneticPr fontId="1" type="noConversion"/>
  </si>
  <si>
    <t>香格里拉</t>
    <phoneticPr fontId="1" type="noConversion"/>
  </si>
  <si>
    <t>无畏</t>
    <phoneticPr fontId="1" type="noConversion"/>
  </si>
  <si>
    <t>突击者</t>
    <phoneticPr fontId="1" type="noConversion"/>
  </si>
  <si>
    <t>按提示填写完整，没有的技能不填</t>
    <phoneticPr fontId="1" type="noConversion"/>
  </si>
  <si>
    <t>航母1</t>
    <phoneticPr fontId="1" type="noConversion"/>
  </si>
  <si>
    <t>第一轮</t>
    <phoneticPr fontId="1" type="noConversion"/>
  </si>
  <si>
    <t>第二轮</t>
    <phoneticPr fontId="1" type="noConversion"/>
  </si>
  <si>
    <t>第三轮</t>
    <phoneticPr fontId="1" type="noConversion"/>
  </si>
  <si>
    <t>第四轮</t>
    <phoneticPr fontId="1" type="noConversion"/>
  </si>
  <si>
    <t>第五轮</t>
    <phoneticPr fontId="1" type="noConversion"/>
  </si>
  <si>
    <t>第六轮</t>
    <phoneticPr fontId="1" type="noConversion"/>
  </si>
  <si>
    <t>好感度</t>
    <phoneticPr fontId="1" type="noConversion"/>
  </si>
  <si>
    <t>好感度加成下装填</t>
    <phoneticPr fontId="1" type="noConversion"/>
  </si>
  <si>
    <t>科技+猫</t>
    <phoneticPr fontId="1" type="noConversion"/>
  </si>
  <si>
    <t>指挥猫</t>
    <phoneticPr fontId="1" type="noConversion"/>
  </si>
  <si>
    <t>队内卡萨</t>
    <phoneticPr fontId="1" type="noConversion"/>
  </si>
  <si>
    <t>长门buff</t>
    <phoneticPr fontId="1" type="noConversion"/>
  </si>
  <si>
    <t>装填技能1</t>
    <phoneticPr fontId="1" type="noConversion"/>
  </si>
  <si>
    <t>装填技能2</t>
    <phoneticPr fontId="1" type="noConversion"/>
  </si>
  <si>
    <t>总装填</t>
    <phoneticPr fontId="1" type="noConversion"/>
  </si>
  <si>
    <t>等级</t>
    <phoneticPr fontId="1" type="noConversion"/>
  </si>
  <si>
    <t>轰炸机</t>
  </si>
  <si>
    <t>轰/鱼</t>
    <phoneticPr fontId="1" type="noConversion"/>
  </si>
  <si>
    <t>齐柏林伯爵</t>
    <phoneticPr fontId="1" type="noConversion"/>
  </si>
  <si>
    <t>舰载机1</t>
    <phoneticPr fontId="1" type="noConversion"/>
  </si>
  <si>
    <t>舰载机2</t>
    <phoneticPr fontId="1" type="noConversion"/>
  </si>
  <si>
    <t>舰载机3</t>
    <phoneticPr fontId="1" type="noConversion"/>
  </si>
  <si>
    <t>携带1</t>
    <phoneticPr fontId="1" type="noConversion"/>
  </si>
  <si>
    <t>携带2</t>
    <phoneticPr fontId="1" type="noConversion"/>
  </si>
  <si>
    <t>携带3</t>
    <phoneticPr fontId="1" type="noConversion"/>
  </si>
  <si>
    <t>飞机数1</t>
    <phoneticPr fontId="1" type="noConversion"/>
  </si>
  <si>
    <t>飞机数2</t>
    <phoneticPr fontId="1" type="noConversion"/>
  </si>
  <si>
    <t>飞机数3</t>
    <phoneticPr fontId="1" type="noConversion"/>
  </si>
  <si>
    <t>总cd</t>
    <phoneticPr fontId="1" type="noConversion"/>
  </si>
  <si>
    <t>标准轮</t>
    <phoneticPr fontId="1" type="noConversion"/>
  </si>
  <si>
    <t>加速技能</t>
    <phoneticPr fontId="1" type="noConversion"/>
  </si>
  <si>
    <t>首轮加速</t>
    <phoneticPr fontId="1" type="noConversion"/>
  </si>
  <si>
    <t>首轮</t>
    <phoneticPr fontId="1" type="noConversion"/>
  </si>
  <si>
    <t>航母2</t>
    <phoneticPr fontId="1" type="noConversion"/>
  </si>
  <si>
    <t>航母3</t>
    <phoneticPr fontId="1" type="noConversion"/>
  </si>
  <si>
    <t>第一轮</t>
    <phoneticPr fontId="1" type="noConversion"/>
  </si>
  <si>
    <t>第二轮</t>
    <phoneticPr fontId="1" type="noConversion"/>
  </si>
  <si>
    <t>第三轮</t>
    <phoneticPr fontId="1" type="noConversion"/>
  </si>
  <si>
    <t>第四轮</t>
    <phoneticPr fontId="1" type="noConversion"/>
  </si>
  <si>
    <t>第五轮</t>
    <phoneticPr fontId="1" type="noConversion"/>
  </si>
  <si>
    <t>第六轮</t>
    <phoneticPr fontId="1" type="noConversion"/>
  </si>
  <si>
    <t>减速命中</t>
    <phoneticPr fontId="1" type="noConversion"/>
  </si>
  <si>
    <t>减速结束</t>
    <phoneticPr fontId="1" type="noConversion"/>
  </si>
  <si>
    <t>常规站位</t>
  </si>
  <si>
    <t>常规站位</t>
    <phoneticPr fontId="1" type="noConversion"/>
  </si>
  <si>
    <t>右侧版边</t>
    <phoneticPr fontId="1" type="noConversion"/>
  </si>
  <si>
    <t>屏幕外</t>
    <phoneticPr fontId="1" type="noConversion"/>
  </si>
  <si>
    <t>海伦娜新轴</t>
    <phoneticPr fontId="1" type="noConversion"/>
  </si>
  <si>
    <t>海伦娜旧轴</t>
    <phoneticPr fontId="1" type="noConversion"/>
  </si>
  <si>
    <t>其他</t>
    <phoneticPr fontId="1" type="noConversion"/>
  </si>
  <si>
    <t>飞龙时停轴（单战列版本）</t>
    <phoneticPr fontId="1" type="noConversion"/>
  </si>
  <si>
    <t>飞龙时停轴（三航母版本）</t>
    <phoneticPr fontId="1" type="noConversion"/>
  </si>
  <si>
    <t>一战双航轴</t>
    <phoneticPr fontId="1" type="noConversion"/>
  </si>
  <si>
    <t>三航轴</t>
    <phoneticPr fontId="1" type="noConversion"/>
  </si>
  <si>
    <t>https://wiki.biligame.com/blhx/%E4%BB%8E%E9%9B%B6%E5%BC%80%E5%A7%8B%E7%9A%84%E8%B0%83%E9%80%9F%E8%AF%A6%E8%A7%A3</t>
  </si>
  <si>
    <t>本表格由归鸿制作，转载请标明出处！如有错误之处可b站私信我，谢谢合作！</t>
    <phoneticPr fontId="1" type="noConversion"/>
  </si>
  <si>
    <t>第四轮舰爆命中时间</t>
    <phoneticPr fontId="1" type="noConversion"/>
  </si>
  <si>
    <t>舰队boss60s三轮情况</t>
    <phoneticPr fontId="1" type="noConversion"/>
  </si>
  <si>
    <t>进图延迟</t>
    <phoneticPr fontId="1" type="noConversion"/>
  </si>
  <si>
    <t>运动时间</t>
    <phoneticPr fontId="1" type="noConversion"/>
  </si>
  <si>
    <t>误差时间</t>
    <phoneticPr fontId="1" type="noConversion"/>
  </si>
  <si>
    <t>静止时间</t>
    <phoneticPr fontId="1" type="noConversion"/>
  </si>
  <si>
    <t>战列影响时间</t>
    <phoneticPr fontId="1" type="noConversion"/>
  </si>
  <si>
    <t>单帧时长</t>
    <phoneticPr fontId="1" type="noConversion"/>
  </si>
  <si>
    <t>一战双航轴</t>
    <phoneticPr fontId="1" type="noConversion"/>
  </si>
  <si>
    <t>三航轴</t>
    <phoneticPr fontId="1" type="noConversion"/>
  </si>
  <si>
    <t>黑飞龙运动情况（蓝色为可利用静止时段）</t>
    <phoneticPr fontId="1" type="noConversion"/>
  </si>
  <si>
    <t>实际航速</t>
    <phoneticPr fontId="1" type="noConversion"/>
  </si>
  <si>
    <t>右侧版边</t>
  </si>
  <si>
    <t>屏幕外</t>
  </si>
  <si>
    <t>818航速</t>
    <phoneticPr fontId="1" type="noConversion"/>
  </si>
  <si>
    <t>无飞机</t>
    <phoneticPr fontId="1" type="noConversion"/>
  </si>
  <si>
    <t>梭鱼(831中队)T0</t>
  </si>
  <si>
    <t>试作型舰载FW-190 A-5T0</t>
    <phoneticPr fontId="1" type="noConversion"/>
  </si>
  <si>
    <t>萤火虫T0</t>
  </si>
  <si>
    <t>彗星一二型甲T0</t>
    <phoneticPr fontId="1" type="noConversion"/>
  </si>
  <si>
    <t>海燕T3</t>
    <phoneticPr fontId="1" type="noConversion"/>
  </si>
  <si>
    <t>彗星T3</t>
    <phoneticPr fontId="1" type="noConversion"/>
  </si>
  <si>
    <t>BTD-1毁灭者T3</t>
    <phoneticPr fontId="1" type="noConversion"/>
  </si>
  <si>
    <t>SBD无畏(麦克拉斯基队)T0</t>
    <phoneticPr fontId="1" type="noConversion"/>
  </si>
  <si>
    <t>SB2C地狱俯冲者T3</t>
    <phoneticPr fontId="1" type="noConversion"/>
  </si>
  <si>
    <t>XF5F天箭T0</t>
    <phoneticPr fontId="1" type="noConversion"/>
  </si>
  <si>
    <t>Me-155A舰载战斗机T3</t>
    <phoneticPr fontId="1" type="noConversion"/>
  </si>
  <si>
    <t>F2A水牛T0</t>
    <phoneticPr fontId="1" type="noConversion"/>
  </si>
  <si>
    <t>零战五二型T3</t>
    <phoneticPr fontId="1" type="noConversion"/>
  </si>
  <si>
    <t>F8F熊猫T0</t>
    <phoneticPr fontId="1" type="noConversion"/>
  </si>
  <si>
    <t>F4U(VF-17“海盗”中队)T0</t>
    <phoneticPr fontId="1" type="noConversion"/>
  </si>
  <si>
    <t>烈风T3</t>
    <phoneticPr fontId="1" type="noConversion"/>
  </si>
  <si>
    <t>海毒牙T3</t>
    <phoneticPr fontId="1" type="noConversion"/>
  </si>
  <si>
    <t>海喷火FR.47T0</t>
    <phoneticPr fontId="1" type="noConversion"/>
  </si>
  <si>
    <t>海大黄蜂T0</t>
    <phoneticPr fontId="1" type="noConversion"/>
  </si>
  <si>
    <t>海怒T0</t>
    <phoneticPr fontId="1" type="noConversion"/>
  </si>
  <si>
    <t>紫电改二T0</t>
    <phoneticPr fontId="1" type="noConversion"/>
  </si>
  <si>
    <t>F7F虎猫T0</t>
    <phoneticPr fontId="1" type="noConversion"/>
  </si>
  <si>
    <t>F6F地狱猫T3</t>
    <phoneticPr fontId="1" type="noConversion"/>
  </si>
  <si>
    <t>青花鱼T3</t>
    <phoneticPr fontId="1" type="noConversion"/>
  </si>
  <si>
    <t>梭鱼T3</t>
    <phoneticPr fontId="1" type="noConversion"/>
  </si>
  <si>
    <t>Ju-87 D-4T0</t>
    <phoneticPr fontId="1" type="noConversion"/>
  </si>
  <si>
    <t>流星T3</t>
    <phoneticPr fontId="1" type="noConversion"/>
  </si>
  <si>
    <t>天山改T0</t>
    <phoneticPr fontId="1" type="noConversion"/>
  </si>
  <si>
    <t>天山T3</t>
    <phoneticPr fontId="1" type="noConversion"/>
  </si>
  <si>
    <t>火把T0</t>
    <phoneticPr fontId="1" type="noConversion"/>
  </si>
  <si>
    <t>飞龙T0</t>
    <phoneticPr fontId="1" type="noConversion"/>
  </si>
  <si>
    <t>TBM复仇者(VT-18中队)T0</t>
  </si>
  <si>
    <t>XTB2D-1天空海盗T0</t>
  </si>
  <si>
    <t>火冠T0</t>
  </si>
  <si>
    <t>TBD蹂躏者(VT-8中队)T0</t>
  </si>
  <si>
    <t>第一轮</t>
    <phoneticPr fontId="1" type="noConversion"/>
  </si>
  <si>
    <t>第二轮</t>
    <phoneticPr fontId="1" type="noConversion"/>
  </si>
  <si>
    <t>第三轮</t>
    <phoneticPr fontId="1" type="noConversion"/>
  </si>
  <si>
    <t>公用CD计算中间量</t>
    <phoneticPr fontId="1" type="noConversion"/>
  </si>
  <si>
    <r>
      <t>剑鱼(818中队)</t>
    </r>
    <r>
      <rPr>
        <sz val="11"/>
        <color theme="1"/>
        <rFont val="等线"/>
        <family val="2"/>
        <scheme val="minor"/>
      </rPr>
      <t>T0</t>
    </r>
    <phoneticPr fontId="1" type="noConversion"/>
  </si>
  <si>
    <t>818减速情况</t>
    <phoneticPr fontId="1" type="noConversion"/>
  </si>
  <si>
    <t>航母1伤害情况</t>
    <phoneticPr fontId="1" type="noConversion"/>
  </si>
  <si>
    <t>平行雷</t>
    <phoneticPr fontId="1" type="noConversion"/>
  </si>
  <si>
    <t>集束雷</t>
    <phoneticPr fontId="1" type="noConversion"/>
  </si>
  <si>
    <t>敌方位置</t>
    <phoneticPr fontId="1" type="noConversion"/>
  </si>
  <si>
    <t>舰载机路程</t>
    <phoneticPr fontId="1" type="noConversion"/>
  </si>
  <si>
    <t>投弹时间</t>
    <phoneticPr fontId="1" type="noConversion"/>
  </si>
  <si>
    <t>鱼雷命中</t>
    <phoneticPr fontId="1" type="noConversion"/>
  </si>
  <si>
    <t>起飞2s后投弹</t>
    <phoneticPr fontId="1" type="noConversion"/>
  </si>
  <si>
    <t>集束雷投放</t>
    <phoneticPr fontId="1" type="noConversion"/>
  </si>
  <si>
    <t>集束雷命中</t>
    <phoneticPr fontId="1" type="noConversion"/>
  </si>
  <si>
    <t>最早伤害</t>
    <phoneticPr fontId="1" type="noConversion"/>
  </si>
  <si>
    <t>最晚伤害</t>
    <phoneticPr fontId="1" type="noConversion"/>
  </si>
  <si>
    <t>818减速</t>
    <phoneticPr fontId="1" type="noConversion"/>
  </si>
  <si>
    <t>归航信标T0</t>
    <phoneticPr fontId="1" type="noConversion"/>
  </si>
  <si>
    <t>100/150号航空燃油T0</t>
    <phoneticPr fontId="1" type="noConversion"/>
  </si>
  <si>
    <t>航母1集束雷命中情况</t>
    <phoneticPr fontId="1" type="noConversion"/>
  </si>
  <si>
    <t>航母2集束雷命中情况</t>
    <phoneticPr fontId="1" type="noConversion"/>
  </si>
  <si>
    <t>舰载机航速</t>
    <phoneticPr fontId="1" type="noConversion"/>
  </si>
  <si>
    <t>航母3集束雷命中情况</t>
    <phoneticPr fontId="1" type="noConversion"/>
  </si>
  <si>
    <t>距离</t>
    <phoneticPr fontId="1" type="noConversion"/>
  </si>
  <si>
    <t>命中时间</t>
    <phoneticPr fontId="1" type="noConversion"/>
  </si>
  <si>
    <t>航母2伤害情况</t>
    <phoneticPr fontId="1" type="noConversion"/>
  </si>
  <si>
    <t>航母3伤害情况</t>
    <phoneticPr fontId="1" type="noConversion"/>
  </si>
  <si>
    <t>其他</t>
  </si>
  <si>
    <t>误差帧数</t>
    <phoneticPr fontId="1" type="noConversion"/>
  </si>
  <si>
    <t>计算结果表</t>
  </si>
  <si>
    <t>实验型XSB3C-1T0</t>
    <phoneticPr fontId="1" type="noConversion"/>
  </si>
  <si>
    <t>卡萨布兰卡</t>
  </si>
  <si>
    <t>无飞机</t>
    <phoneticPr fontId="1" type="noConversion"/>
  </si>
  <si>
    <t>赤城(μ兵装)</t>
  </si>
  <si>
    <t>大凤(μ兵装)</t>
  </si>
  <si>
    <t>光辉(μ兵装)</t>
  </si>
  <si>
    <t>飞龙·改</t>
    <phoneticPr fontId="1" type="noConversion"/>
  </si>
  <si>
    <t>苍龙·改</t>
    <phoneticPr fontId="1" type="noConversion"/>
  </si>
  <si>
    <t>龙·META</t>
  </si>
  <si>
    <t>彼得·史特拉塞</t>
    <phoneticPr fontId="1" type="noConversion"/>
  </si>
  <si>
    <t>进图延迟</t>
    <phoneticPr fontId="1" type="noConversion"/>
  </si>
  <si>
    <t>航母抬手</t>
    <phoneticPr fontId="1" type="noConversion"/>
  </si>
  <si>
    <t>进图延迟</t>
    <phoneticPr fontId="1" type="noConversion"/>
  </si>
  <si>
    <t>航母抬手</t>
    <phoneticPr fontId="1" type="noConversion"/>
  </si>
  <si>
    <t>秒</t>
    <phoneticPr fontId="1" type="noConversion"/>
  </si>
  <si>
    <t>次</t>
    <phoneticPr fontId="1" type="noConversion"/>
  </si>
  <si>
    <t>失望、陌生</t>
    <phoneticPr fontId="1" type="noConversion"/>
  </si>
  <si>
    <t>友好</t>
    <phoneticPr fontId="1" type="noConversion"/>
  </si>
  <si>
    <t>喜欢</t>
    <phoneticPr fontId="1" type="noConversion"/>
  </si>
  <si>
    <t>爱</t>
    <phoneticPr fontId="1" type="noConversion"/>
  </si>
  <si>
    <t>誓约</t>
    <phoneticPr fontId="1" type="noConversion"/>
  </si>
  <si>
    <t>誓约200</t>
  </si>
  <si>
    <t>誓约200</t>
    <phoneticPr fontId="1" type="noConversion"/>
  </si>
  <si>
    <t>独角兽</t>
    <phoneticPr fontId="1" type="noConversion"/>
  </si>
  <si>
    <t>龙凤</t>
    <phoneticPr fontId="1" type="noConversion"/>
  </si>
  <si>
    <t>战斗机</t>
    <phoneticPr fontId="1" type="noConversion"/>
  </si>
  <si>
    <t>鱼雷机</t>
    <phoneticPr fontId="1" type="noConversion"/>
  </si>
  <si>
    <t>无飞机</t>
    <phoneticPr fontId="1" type="noConversion"/>
  </si>
  <si>
    <t>小赤城</t>
    <phoneticPr fontId="1" type="noConversion"/>
  </si>
  <si>
    <t>小光辉</t>
    <phoneticPr fontId="1" type="noConversion"/>
  </si>
  <si>
    <t>黑方舟自主时停对轴</t>
    <phoneticPr fontId="1" type="noConversion"/>
  </si>
  <si>
    <t>方舟时停轴（四轮版本）</t>
    <phoneticPr fontId="1" type="noConversion"/>
  </si>
  <si>
    <t>方舟轴</t>
    <phoneticPr fontId="1" type="noConversion"/>
  </si>
  <si>
    <t>三航三轮轴(海妈buff)</t>
    <phoneticPr fontId="1" type="noConversion"/>
  </si>
  <si>
    <t>三航三轮轴(无海妈)</t>
    <phoneticPr fontId="1" type="noConversion"/>
  </si>
  <si>
    <t>方舟时停轴（三轮有海）</t>
    <phoneticPr fontId="1" type="noConversion"/>
  </si>
  <si>
    <t>方舟时停轴（三轮无海）</t>
    <phoneticPr fontId="1" type="noConversion"/>
  </si>
  <si>
    <t>指挥猫等级</t>
    <phoneticPr fontId="1" type="noConversion"/>
  </si>
  <si>
    <t>毗沙丸</t>
    <phoneticPr fontId="1" type="noConversion"/>
  </si>
  <si>
    <t>祥凤</t>
    <phoneticPr fontId="1" type="noConversion"/>
  </si>
  <si>
    <t>轰炸机</t>
    <phoneticPr fontId="1" type="noConversion"/>
  </si>
  <si>
    <t>鱼雷机</t>
    <phoneticPr fontId="1" type="noConversion"/>
  </si>
  <si>
    <t>无飞机</t>
    <phoneticPr fontId="1" type="noConversion"/>
  </si>
  <si>
    <t>流星</t>
    <phoneticPr fontId="1" type="noConversion"/>
  </si>
  <si>
    <t>ju</t>
    <phoneticPr fontId="1" type="noConversion"/>
  </si>
  <si>
    <t>余烬战80s四轮情况</t>
    <phoneticPr fontId="1" type="noConversion"/>
  </si>
  <si>
    <t>皇家方舟·META</t>
    <phoneticPr fontId="1" type="noConversion"/>
  </si>
  <si>
    <t>鱼雷机</t>
    <phoneticPr fontId="1" type="noConversion"/>
  </si>
  <si>
    <t>轰炸机</t>
    <phoneticPr fontId="1" type="noConversion"/>
  </si>
  <si>
    <t>大舰队boss对轴</t>
    <phoneticPr fontId="1" type="noConversion"/>
  </si>
  <si>
    <t>公共cd</t>
    <phoneticPr fontId="1" type="noConversion"/>
  </si>
  <si>
    <t>往期对轴存档</t>
    <phoneticPr fontId="1" type="noConversion"/>
  </si>
  <si>
    <t>发呆</t>
    <phoneticPr fontId="1" type="noConversion"/>
  </si>
  <si>
    <t>移动</t>
    <phoneticPr fontId="1" type="noConversion"/>
  </si>
  <si>
    <t>10001自主时停对轴</t>
    <phoneticPr fontId="1" type="noConversion"/>
  </si>
  <si>
    <t>黑飞龙对轴</t>
    <phoneticPr fontId="1" type="noConversion"/>
  </si>
  <si>
    <t>黑方舟对轴</t>
    <phoneticPr fontId="1" type="noConversion"/>
  </si>
  <si>
    <t>伤害区间</t>
    <phoneticPr fontId="1" type="noConversion"/>
  </si>
  <si>
    <t>海伦娜对轴</t>
    <phoneticPr fontId="1" type="noConversion"/>
  </si>
  <si>
    <t>大舰队轴</t>
    <phoneticPr fontId="1" type="noConversion"/>
  </si>
  <si>
    <t>集束雷命中时间计算</t>
    <phoneticPr fontId="1" type="noConversion"/>
  </si>
  <si>
    <t>属性归纳表</t>
    <phoneticPr fontId="1" type="noConversion"/>
  </si>
  <si>
    <t>起飞cd调整表</t>
    <phoneticPr fontId="1" type="noConversion"/>
  </si>
  <si>
    <t>μ罗恩轴</t>
    <phoneticPr fontId="1" type="noConversion"/>
  </si>
  <si>
    <r>
      <rPr>
        <b/>
        <sz val="11"/>
        <rFont val="等线"/>
        <family val="3"/>
        <charset val="134"/>
        <scheme val="minor"/>
      </rPr>
      <t>注2：此处默认boss处于</t>
    </r>
    <r>
      <rPr>
        <b/>
        <sz val="11"/>
        <color rgb="FFFF0000"/>
        <rFont val="等线"/>
        <family val="3"/>
        <charset val="134"/>
        <scheme val="minor"/>
      </rPr>
      <t>常规位置</t>
    </r>
    <r>
      <rPr>
        <b/>
        <sz val="11"/>
        <rFont val="等线"/>
        <family val="3"/>
        <charset val="134"/>
        <scheme val="minor"/>
      </rPr>
      <t>(可参考斩首行动)，流星以及818减速命中的时间视boss位置不同而不同。</t>
    </r>
    <phoneticPr fontId="1" type="noConversion"/>
  </si>
  <si>
    <r>
      <rPr>
        <b/>
        <sz val="11"/>
        <rFont val="等线"/>
        <family val="3"/>
        <charset val="134"/>
        <scheme val="minor"/>
      </rPr>
      <t>注1：</t>
    </r>
    <r>
      <rPr>
        <b/>
        <sz val="11"/>
        <color rgb="FFFF0000"/>
        <rFont val="等线"/>
        <family val="3"/>
        <charset val="134"/>
        <scheme val="minor"/>
      </rPr>
      <t>海伦娜轴</t>
    </r>
    <r>
      <rPr>
        <b/>
        <sz val="11"/>
        <color theme="1"/>
        <rFont val="等线"/>
        <family val="3"/>
        <charset val="134"/>
        <scheme val="minor"/>
      </rPr>
      <t>采用的是</t>
    </r>
    <r>
      <rPr>
        <b/>
        <sz val="11"/>
        <color rgb="FFFF0000"/>
        <rFont val="等线"/>
        <family val="3"/>
        <charset val="134"/>
        <scheme val="minor"/>
      </rPr>
      <t>最晚伤害命中时间(轰炸机最后一颗航弹命中)</t>
    </r>
  </si>
  <si>
    <r>
      <t>注4：</t>
    </r>
    <r>
      <rPr>
        <b/>
        <sz val="11"/>
        <color rgb="FFFF0000"/>
        <rFont val="等线"/>
        <family val="3"/>
        <charset val="134"/>
        <scheme val="minor"/>
      </rPr>
      <t>boss自主时停轴</t>
    </r>
    <r>
      <rPr>
        <b/>
        <sz val="11"/>
        <rFont val="等线"/>
        <family val="3"/>
        <charset val="134"/>
        <scheme val="minor"/>
      </rPr>
      <t>，具体详细讲解请</t>
    </r>
    <r>
      <rPr>
        <b/>
        <sz val="11"/>
        <color rgb="FFFF0000"/>
        <rFont val="等线"/>
        <family val="3"/>
        <charset val="134"/>
        <scheme val="minor"/>
      </rPr>
      <t>点击下方超链接</t>
    </r>
    <r>
      <rPr>
        <b/>
        <sz val="11"/>
        <rFont val="等线"/>
        <family val="3"/>
        <charset val="134"/>
        <scheme val="minor"/>
      </rPr>
      <t>看碧蓝航线wiki内相关文章。</t>
    </r>
    <phoneticPr fontId="1" type="noConversion"/>
  </si>
  <si>
    <r>
      <rPr>
        <b/>
        <sz val="11"/>
        <rFont val="等线"/>
        <family val="3"/>
        <charset val="134"/>
        <scheme val="minor"/>
      </rPr>
      <t>注3：</t>
    </r>
    <r>
      <rPr>
        <b/>
        <sz val="11"/>
        <color rgb="FFFF0000"/>
        <rFont val="等线"/>
        <family val="3"/>
        <charset val="134"/>
        <scheme val="minor"/>
      </rPr>
      <t>开幕延迟1.5s</t>
    </r>
    <r>
      <rPr>
        <b/>
        <sz val="11"/>
        <rFont val="等线"/>
        <family val="3"/>
        <charset val="134"/>
        <scheme val="minor"/>
      </rPr>
      <t>，</t>
    </r>
    <r>
      <rPr>
        <b/>
        <sz val="11"/>
        <color rgb="FFFF0000"/>
        <rFont val="等线"/>
        <family val="3"/>
        <charset val="134"/>
        <scheme val="minor"/>
      </rPr>
      <t>起飞前摇0.1s</t>
    </r>
    <r>
      <rPr>
        <b/>
        <sz val="11"/>
        <rFont val="等线"/>
        <family val="3"/>
        <charset val="134"/>
        <scheme val="minor"/>
      </rPr>
      <t>。计算中加上了</t>
    </r>
    <r>
      <rPr>
        <b/>
        <sz val="11"/>
        <color rgb="FFFF0000"/>
        <rFont val="等线"/>
        <family val="3"/>
        <charset val="134"/>
        <scheme val="minor"/>
      </rPr>
      <t>起飞时间过于接近</t>
    </r>
    <r>
      <rPr>
        <b/>
        <sz val="11"/>
        <rFont val="等线"/>
        <family val="3"/>
        <charset val="134"/>
        <scheme val="minor"/>
      </rPr>
      <t>时的</t>
    </r>
    <r>
      <rPr>
        <b/>
        <sz val="11"/>
        <color rgb="FFFF0000"/>
        <rFont val="等线"/>
        <family val="3"/>
        <charset val="134"/>
        <scheme val="minor"/>
      </rPr>
      <t>0.6s公用CD+起飞前摇</t>
    </r>
    <r>
      <rPr>
        <b/>
        <sz val="11"/>
        <rFont val="等线"/>
        <family val="3"/>
        <charset val="134"/>
        <scheme val="minor"/>
      </rPr>
      <t>。可在右侧视情况调整。</t>
    </r>
    <r>
      <rPr>
        <b/>
        <sz val="11"/>
        <color rgb="FFFF0000"/>
        <rFont val="等线"/>
        <family val="3"/>
        <charset val="134"/>
        <scheme val="minor"/>
      </rPr>
      <t>→→→</t>
    </r>
    <phoneticPr fontId="1" type="noConversion"/>
  </si>
  <si>
    <t>修正后cd</t>
    <phoneticPr fontId="1" type="noConversion"/>
  </si>
  <si>
    <t>主炮</t>
    <phoneticPr fontId="1" type="noConversion"/>
  </si>
  <si>
    <t>弹链</t>
    <phoneticPr fontId="1" type="noConversion"/>
  </si>
  <si>
    <t>金火控</t>
    <phoneticPr fontId="1" type="noConversion"/>
  </si>
  <si>
    <t>其他</t>
    <phoneticPr fontId="1" type="noConversion"/>
  </si>
  <si>
    <t>好感度</t>
    <phoneticPr fontId="1" type="noConversion"/>
  </si>
  <si>
    <t>等级</t>
    <phoneticPr fontId="1" type="noConversion"/>
  </si>
  <si>
    <t>主炮</t>
    <phoneticPr fontId="1" type="noConversion"/>
  </si>
  <si>
    <t>设备1</t>
    <phoneticPr fontId="1" type="noConversion"/>
  </si>
  <si>
    <t>设备2</t>
    <phoneticPr fontId="1" type="noConversion"/>
  </si>
  <si>
    <t>好感度加成</t>
    <phoneticPr fontId="1" type="noConversion"/>
  </si>
  <si>
    <t>首轮加速</t>
    <phoneticPr fontId="1" type="noConversion"/>
  </si>
  <si>
    <t>乔治喵</t>
    <phoneticPr fontId="1" type="noConversion"/>
  </si>
  <si>
    <t>指挥猫等级</t>
    <phoneticPr fontId="1" type="noConversion"/>
  </si>
  <si>
    <t>指挥猫</t>
    <phoneticPr fontId="1" type="noConversion"/>
  </si>
  <si>
    <t>总装填</t>
    <phoneticPr fontId="1" type="noConversion"/>
  </si>
  <si>
    <t>科技+猫</t>
    <phoneticPr fontId="1" type="noConversion"/>
  </si>
  <si>
    <t>帕特喵</t>
    <phoneticPr fontId="1" type="noConversion"/>
  </si>
  <si>
    <t>林德喵</t>
    <phoneticPr fontId="1" type="noConversion"/>
  </si>
  <si>
    <t>主炮cd</t>
    <phoneticPr fontId="1" type="noConversion"/>
  </si>
  <si>
    <t>标准轮</t>
    <phoneticPr fontId="1" type="noConversion"/>
  </si>
  <si>
    <t>加速技能</t>
    <phoneticPr fontId="1" type="noConversion"/>
  </si>
  <si>
    <t>首轮</t>
    <phoneticPr fontId="1" type="noConversion"/>
  </si>
  <si>
    <t>战列抬手</t>
    <phoneticPr fontId="1" type="noConversion"/>
  </si>
  <si>
    <t>公共cd</t>
    <phoneticPr fontId="1" type="noConversion"/>
  </si>
  <si>
    <t>381改-双联装381mm主炮改</t>
    <phoneticPr fontId="1" type="noConversion"/>
  </si>
  <si>
    <t>奥丁炮-试作型三联装305mmSKC39主炮</t>
    <phoneticPr fontId="1" type="noConversion"/>
  </si>
  <si>
    <t>大帝炮-试作型双联装406mmSKC主炮</t>
    <phoneticPr fontId="1" type="noConversion"/>
  </si>
  <si>
    <t>457-试作型双联装457mm主炮MKAT0</t>
    <phoneticPr fontId="1" type="noConversion"/>
  </si>
  <si>
    <t>君主炮-试作型三联装381mm主炮T0</t>
    <phoneticPr fontId="1" type="noConversion"/>
  </si>
  <si>
    <t>香槟炮-试作型三联装406mm/50主炮T0</t>
    <phoneticPr fontId="1" type="noConversion"/>
  </si>
  <si>
    <t>MK6-三联装406mm主炮MK6T3</t>
    <phoneticPr fontId="1" type="noConversion"/>
  </si>
  <si>
    <t>嗑药炮-三联装381mm主炮Model 1934</t>
    <phoneticPr fontId="1" type="noConversion"/>
  </si>
  <si>
    <t>出云炮-试作型410mm三连装炮</t>
    <phoneticPr fontId="1" type="noConversion"/>
  </si>
  <si>
    <t>让巴尔炮-四联装380mm主炮Mle1935</t>
    <phoneticPr fontId="1" type="noConversion"/>
  </si>
  <si>
    <t>乔五炮-四联装356mm主炮T3</t>
    <phoneticPr fontId="1" type="noConversion"/>
  </si>
  <si>
    <t>MkB-试作型四联装356mm主炮MkB</t>
    <phoneticPr fontId="1" type="noConversion"/>
  </si>
  <si>
    <t>时停区间</t>
    <phoneticPr fontId="1" type="noConversion"/>
  </si>
  <si>
    <t>有效区间</t>
    <phoneticPr fontId="1" type="noConversion"/>
  </si>
  <si>
    <t>前有效</t>
    <phoneticPr fontId="1" type="noConversion"/>
  </si>
  <si>
    <t>后有效</t>
    <phoneticPr fontId="1" type="noConversion"/>
  </si>
  <si>
    <t>长门</t>
  </si>
  <si>
    <t>内华达</t>
  </si>
  <si>
    <t>内华达·改</t>
  </si>
  <si>
    <t>俄克拉荷马</t>
  </si>
  <si>
    <t>俄克拉荷马·改</t>
  </si>
  <si>
    <t>宾夕法尼亚</t>
  </si>
  <si>
    <t>亚利桑那</t>
  </si>
  <si>
    <t>田纳西</t>
  </si>
  <si>
    <t>加利福尼亚</t>
  </si>
  <si>
    <t>科罗拉多</t>
  </si>
  <si>
    <t>马里兰</t>
  </si>
  <si>
    <t>西弗吉尼亚</t>
  </si>
  <si>
    <t>北卡罗来纳</t>
  </si>
  <si>
    <t>华盛顿</t>
  </si>
  <si>
    <t>南达科他</t>
  </si>
  <si>
    <t>马萨诸塞</t>
  </si>
  <si>
    <t>阿拉巴马</t>
  </si>
  <si>
    <t>佐治亚</t>
  </si>
  <si>
    <t>声望</t>
  </si>
  <si>
    <t>反击</t>
  </si>
  <si>
    <t>胡德</t>
  </si>
  <si>
    <t>小声望</t>
  </si>
  <si>
    <t>伊丽莎白女王</t>
  </si>
  <si>
    <t>厌战</t>
  </si>
  <si>
    <t>纳尔逊</t>
  </si>
  <si>
    <t>罗德尼</t>
  </si>
  <si>
    <t>英王乔治五世</t>
  </si>
  <si>
    <t>威尔士亲王</t>
  </si>
  <si>
    <t>约克公爵</t>
  </si>
  <si>
    <t>豪</t>
  </si>
  <si>
    <t>英勇</t>
  </si>
  <si>
    <t>厌战·改</t>
  </si>
  <si>
    <t>君主</t>
  </si>
  <si>
    <t>金刚</t>
  </si>
  <si>
    <t>比叡</t>
  </si>
  <si>
    <t>榛名</t>
  </si>
  <si>
    <t>雾岛</t>
  </si>
  <si>
    <t>天城</t>
  </si>
  <si>
    <t>小比叡</t>
  </si>
  <si>
    <t>扶桑</t>
  </si>
  <si>
    <t>山城</t>
  </si>
  <si>
    <t>伊势</t>
  </si>
  <si>
    <t>日向</t>
  </si>
  <si>
    <t>陆奥</t>
  </si>
  <si>
    <t>加贺BB</t>
  </si>
  <si>
    <t>土佐</t>
  </si>
  <si>
    <t>三笠</t>
  </si>
  <si>
    <t>纪伊</t>
  </si>
  <si>
    <t>骏河</t>
  </si>
  <si>
    <t>扶桑·改</t>
  </si>
  <si>
    <t>山城·改</t>
  </si>
  <si>
    <t>伊势·改</t>
  </si>
  <si>
    <t>日向·改</t>
  </si>
  <si>
    <t>出云</t>
  </si>
  <si>
    <t>沙恩霍斯特</t>
  </si>
  <si>
    <t>格奈森瑙</t>
  </si>
  <si>
    <t>俾斯麦</t>
  </si>
  <si>
    <t>提尔比茨</t>
  </si>
  <si>
    <t>腓特烈大帝</t>
  </si>
  <si>
    <t>奥丁</t>
  </si>
  <si>
    <t>利托里奥</t>
  </si>
  <si>
    <t>加富尔伯爵</t>
  </si>
  <si>
    <t>朱利奥·凯撒</t>
  </si>
  <si>
    <t>甘古特</t>
  </si>
  <si>
    <t>苏维埃贝拉罗斯</t>
  </si>
  <si>
    <t>苏维埃罗西亚</t>
  </si>
  <si>
    <t>黎塞留</t>
  </si>
  <si>
    <t>香槟</t>
  </si>
  <si>
    <t>敦刻尔克</t>
  </si>
  <si>
    <t>让·巴尔</t>
  </si>
  <si>
    <t>加斯科涅(μ兵装)</t>
  </si>
  <si>
    <t>加斯科涅</t>
  </si>
  <si>
    <t>绊爱·SuperGamer</t>
  </si>
  <si>
    <t>穗香</t>
  </si>
  <si>
    <t>凪咲</t>
  </si>
  <si>
    <t>战斗机</t>
    <phoneticPr fontId="1" type="noConversion"/>
  </si>
  <si>
    <t>鱼雷机</t>
    <phoneticPr fontId="1" type="noConversion"/>
  </si>
  <si>
    <t>天鹰</t>
    <phoneticPr fontId="1" type="noConversion"/>
  </si>
  <si>
    <t>飞龙改</t>
    <phoneticPr fontId="1" type="noConversion"/>
  </si>
  <si>
    <t>苍龙改</t>
    <phoneticPr fontId="1" type="noConversion"/>
  </si>
  <si>
    <t>兰利改</t>
    <phoneticPr fontId="1" type="noConversion"/>
  </si>
  <si>
    <t>隼鹰</t>
    <phoneticPr fontId="1" type="noConversion"/>
  </si>
  <si>
    <t>重巡</t>
    <phoneticPr fontId="1" type="noConversion"/>
  </si>
  <si>
    <t>驱逐</t>
    <phoneticPr fontId="1" type="noConversion"/>
  </si>
  <si>
    <t>轻巡</t>
    <phoneticPr fontId="1" type="noConversion"/>
  </si>
  <si>
    <t>航母</t>
    <phoneticPr fontId="1" type="noConversion"/>
  </si>
  <si>
    <t>战列</t>
    <phoneticPr fontId="1" type="noConversion"/>
  </si>
  <si>
    <t>大世界深渊boss轴</t>
    <phoneticPr fontId="1" type="noConversion"/>
  </si>
  <si>
    <t>三航两轮轴</t>
    <phoneticPr fontId="1" type="noConversion"/>
  </si>
  <si>
    <t>长信鹤三轮轴</t>
    <phoneticPr fontId="1" type="noConversion"/>
  </si>
  <si>
    <t>长信鹤四轮轴</t>
    <phoneticPr fontId="1" type="noConversion"/>
  </si>
  <si>
    <t>集束雷命中时间</t>
    <phoneticPr fontId="1" type="noConversion"/>
  </si>
  <si>
    <t>黑妈</t>
    <phoneticPr fontId="1" type="noConversion"/>
  </si>
  <si>
    <t>归航信标T0</t>
  </si>
  <si>
    <t>黑海妈对轴</t>
    <phoneticPr fontId="1" type="noConversion"/>
  </si>
  <si>
    <t>ju87</t>
    <phoneticPr fontId="1" type="noConversion"/>
  </si>
  <si>
    <t>流星</t>
    <phoneticPr fontId="1" type="noConversion"/>
  </si>
  <si>
    <t>彩云</t>
    <phoneticPr fontId="1" type="noConversion"/>
  </si>
  <si>
    <t>天雷</t>
    <phoneticPr fontId="1" type="noConversion"/>
  </si>
  <si>
    <t>敌人位置</t>
    <phoneticPr fontId="1" type="noConversion"/>
  </si>
  <si>
    <t>命中时间</t>
    <phoneticPr fontId="1" type="noConversion"/>
  </si>
  <si>
    <t>投弹耗时</t>
    <phoneticPr fontId="1" type="noConversion"/>
  </si>
  <si>
    <t>航速</t>
    <phoneticPr fontId="1" type="noConversion"/>
  </si>
  <si>
    <t>鱼雷机</t>
    <phoneticPr fontId="1" type="noConversion"/>
  </si>
  <si>
    <t>轰炸机</t>
    <phoneticPr fontId="1" type="noConversion"/>
  </si>
  <si>
    <t>皇家方舟·改</t>
    <phoneticPr fontId="1" type="noConversion"/>
  </si>
  <si>
    <t>战斗机</t>
    <phoneticPr fontId="1" type="noConversion"/>
  </si>
  <si>
    <t>无飞机</t>
    <phoneticPr fontId="1" type="noConversion"/>
  </si>
  <si>
    <t>独立·改</t>
    <phoneticPr fontId="1" type="noConversion"/>
  </si>
  <si>
    <t>试作舰载型天雷</t>
    <phoneticPr fontId="1" type="noConversion"/>
  </si>
  <si>
    <t>提康德罗加</t>
  </si>
  <si>
    <t>集束雷</t>
    <phoneticPr fontId="1" type="noConversion"/>
  </si>
  <si>
    <t>试作型彩云（舰攻型）</t>
    <phoneticPr fontId="1" type="noConversion"/>
  </si>
  <si>
    <t>剑鱼(818中队)T0</t>
  </si>
  <si>
    <t>队内独/卡</t>
    <phoneticPr fontId="1" type="noConversion"/>
  </si>
  <si>
    <t>MK6-三联装406mm主炮MK6T3</t>
  </si>
  <si>
    <t>金火控</t>
  </si>
  <si>
    <t>白龙</t>
    <phoneticPr fontId="1" type="noConversion"/>
  </si>
  <si>
    <t>奥古斯特·冯·帕塞瓦尔</t>
  </si>
  <si>
    <t>奥古斯特·冯·帕塞瓦尔</t>
    <phoneticPr fontId="1" type="noConversion"/>
  </si>
  <si>
    <t>轰炸机</t>
    <phoneticPr fontId="1" type="noConversion"/>
  </si>
  <si>
    <t>轰/鱼</t>
  </si>
  <si>
    <t>战/鱼</t>
    <phoneticPr fontId="1" type="noConversion"/>
  </si>
  <si>
    <t>失望、陌生</t>
  </si>
  <si>
    <t>试作型舰载FW-190 A-5T0</t>
  </si>
  <si>
    <t>BTD-1毁灭者T3</t>
  </si>
  <si>
    <t>彼得·史特拉塞</t>
  </si>
  <si>
    <t>是否彼得</t>
    <phoneticPr fontId="1" type="noConversion"/>
  </si>
  <si>
    <t>是</t>
  </si>
  <si>
    <t>彼得？</t>
    <phoneticPr fontId="1" type="noConversion"/>
  </si>
  <si>
    <t>Ju-87 D-4T0</t>
  </si>
  <si>
    <t>试作舰载型天雷</t>
  </si>
  <si>
    <t>试作舰载型BF-109G</t>
  </si>
  <si>
    <t>试作舰载型BF-109G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</si>
</sst>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00_ "/>
    <numFmt numFmtId="177" formatCode="0.000_ "/>
    <numFmt numFmtId="178" formatCode="0.00_ "/>
  </numFmts>
  <fonts count="1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b/>
      <sz val="11"/>
      <color rgb="FF0070C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7030A0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0"/>
      <color rgb="FFFF0000"/>
      <name val="等线"/>
      <family val="3"/>
      <charset val="134"/>
      <scheme val="minor"/>
    </font>
    <font>
      <b/>
      <sz val="16"/>
      <name val="等线"/>
      <family val="3"/>
      <charset val="134"/>
      <scheme val="minor"/>
    </font>
    <font>
      <b/>
      <sz val="11"/>
      <color rgb="FF00B0F0"/>
      <name val="等线"/>
      <family val="3"/>
      <charset val="134"/>
      <scheme val="minor"/>
    </font>
    <font>
      <b/>
      <sz val="11"/>
      <color rgb="FF002060"/>
      <name val="等线"/>
      <family val="3"/>
      <charset val="134"/>
      <scheme val="minor"/>
    </font>
    <font>
      <b/>
      <sz val="11"/>
      <color rgb="FF00B050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sz val="11"/>
      <name val="等线"/>
      <family val="2"/>
      <scheme val="minor"/>
    </font>
    <font>
      <b/>
      <sz val="18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 diagonalDown="1">
      <left/>
      <right/>
      <top style="medium">
        <color indexed="64"/>
      </top>
      <bottom/>
      <diagonal style="thin">
        <color auto="1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auto="1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63">
    <xf numFmtId="0" fontId="0" fillId="0" borderId="0" xfId="0"/>
    <xf numFmtId="0" fontId="0" fillId="0" borderId="0" xfId="0" applyBorder="1"/>
    <xf numFmtId="0" fontId="0" fillId="0" borderId="13" xfId="0" applyBorder="1"/>
    <xf numFmtId="0" fontId="0" fillId="0" borderId="24" xfId="0" applyBorder="1"/>
    <xf numFmtId="0" fontId="0" fillId="0" borderId="26" xfId="0" applyBorder="1"/>
    <xf numFmtId="0" fontId="0" fillId="0" borderId="12" xfId="0" applyBorder="1"/>
    <xf numFmtId="0" fontId="0" fillId="0" borderId="15" xfId="0" applyBorder="1"/>
    <xf numFmtId="0" fontId="0" fillId="0" borderId="0" xfId="0" applyFill="1" applyBorder="1"/>
    <xf numFmtId="0" fontId="0" fillId="0" borderId="5" xfId="0" applyBorder="1"/>
    <xf numFmtId="0" fontId="0" fillId="0" borderId="9" xfId="0" applyBorder="1"/>
    <xf numFmtId="0" fontId="0" fillId="0" borderId="19" xfId="0" applyBorder="1" applyAlignment="1">
      <alignment vertical="center"/>
    </xf>
    <xf numFmtId="0" fontId="0" fillId="0" borderId="6" xfId="0" applyBorder="1"/>
    <xf numFmtId="0" fontId="0" fillId="0" borderId="19" xfId="0" applyFill="1" applyBorder="1"/>
    <xf numFmtId="0" fontId="0" fillId="0" borderId="11" xfId="0" applyBorder="1"/>
    <xf numFmtId="0" fontId="0" fillId="0" borderId="7" xfId="0" applyBorder="1"/>
    <xf numFmtId="0" fontId="2" fillId="0" borderId="19" xfId="0" applyFont="1" applyBorder="1"/>
    <xf numFmtId="0" fontId="3" fillId="0" borderId="15" xfId="0" applyFont="1" applyBorder="1"/>
    <xf numFmtId="0" fontId="0" fillId="0" borderId="8" xfId="0" applyBorder="1"/>
    <xf numFmtId="0" fontId="11" fillId="0" borderId="0" xfId="0" applyFont="1" applyBorder="1"/>
    <xf numFmtId="0" fontId="6" fillId="0" borderId="14" xfId="0" applyFont="1" applyBorder="1"/>
    <xf numFmtId="0" fontId="11" fillId="0" borderId="13" xfId="0" applyFont="1" applyBorder="1"/>
    <xf numFmtId="0" fontId="0" fillId="0" borderId="29" xfId="0" applyFill="1" applyBorder="1"/>
    <xf numFmtId="0" fontId="0" fillId="0" borderId="11" xfId="0" applyFill="1" applyBorder="1"/>
    <xf numFmtId="0" fontId="5" fillId="4" borderId="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2" fillId="0" borderId="13" xfId="0" applyFont="1" applyBorder="1"/>
    <xf numFmtId="0" fontId="3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/>
    <xf numFmtId="0" fontId="11" fillId="0" borderId="9" xfId="0" applyFont="1" applyBorder="1"/>
    <xf numFmtId="0" fontId="11" fillId="0" borderId="7" xfId="0" applyFont="1" applyBorder="1"/>
    <xf numFmtId="0" fontId="11" fillId="0" borderId="8" xfId="0" applyFont="1" applyBorder="1"/>
    <xf numFmtId="0" fontId="2" fillId="0" borderId="23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0" fillId="0" borderId="25" xfId="0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176" fontId="0" fillId="0" borderId="0" xfId="0" applyNumberFormat="1" applyBorder="1"/>
    <xf numFmtId="176" fontId="0" fillId="0" borderId="8" xfId="0" applyNumberFormat="1" applyBorder="1"/>
    <xf numFmtId="176" fontId="0" fillId="0" borderId="9" xfId="0" applyNumberFormat="1" applyBorder="1"/>
    <xf numFmtId="176" fontId="0" fillId="0" borderId="10" xfId="0" applyNumberFormat="1" applyBorder="1"/>
    <xf numFmtId="176" fontId="0" fillId="0" borderId="12" xfId="0" applyNumberFormat="1" applyBorder="1"/>
    <xf numFmtId="176" fontId="0" fillId="0" borderId="6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176" fontId="0" fillId="0" borderId="11" xfId="0" applyNumberFormat="1" applyBorder="1"/>
    <xf numFmtId="0" fontId="0" fillId="0" borderId="10" xfId="0" applyBorder="1"/>
    <xf numFmtId="0" fontId="0" fillId="0" borderId="14" xfId="0" applyBorder="1"/>
    <xf numFmtId="0" fontId="0" fillId="0" borderId="6" xfId="0" applyFill="1" applyBorder="1"/>
    <xf numFmtId="0" fontId="0" fillId="0" borderId="5" xfId="0" applyFill="1" applyBorder="1"/>
    <xf numFmtId="176" fontId="0" fillId="3" borderId="7" xfId="0" applyNumberFormat="1" applyFill="1" applyBorder="1"/>
    <xf numFmtId="176" fontId="0" fillId="3" borderId="9" xfId="0" applyNumberFormat="1" applyFill="1" applyBorder="1"/>
    <xf numFmtId="176" fontId="0" fillId="3" borderId="12" xfId="0" applyNumberFormat="1" applyFill="1" applyBorder="1"/>
    <xf numFmtId="0" fontId="6" fillId="0" borderId="11" xfId="0" applyFont="1" applyBorder="1"/>
    <xf numFmtId="0" fontId="6" fillId="0" borderId="12" xfId="0" applyFont="1" applyBorder="1"/>
    <xf numFmtId="0" fontId="0" fillId="0" borderId="7" xfId="0" applyFill="1" applyBorder="1"/>
    <xf numFmtId="0" fontId="0" fillId="0" borderId="10" xfId="0" applyFill="1" applyBorder="1"/>
    <xf numFmtId="0" fontId="0" fillId="0" borderId="9" xfId="0" applyFill="1" applyBorder="1"/>
    <xf numFmtId="0" fontId="11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5" xfId="0" applyFont="1" applyBorder="1"/>
    <xf numFmtId="0" fontId="6" fillId="0" borderId="10" xfId="0" applyFont="1" applyBorder="1"/>
    <xf numFmtId="0" fontId="5" fillId="2" borderId="3" xfId="0" applyFont="1" applyFill="1" applyBorder="1"/>
    <xf numFmtId="0" fontId="5" fillId="4" borderId="18" xfId="0" applyFont="1" applyFill="1" applyBorder="1"/>
    <xf numFmtId="0" fontId="5" fillId="3" borderId="32" xfId="0" applyFont="1" applyFill="1" applyBorder="1"/>
    <xf numFmtId="0" fontId="2" fillId="0" borderId="36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4" xfId="0" applyBorder="1" applyAlignment="1">
      <alignment vertical="center"/>
    </xf>
    <xf numFmtId="176" fontId="0" fillId="0" borderId="0" xfId="0" applyNumberFormat="1" applyFill="1" applyBorder="1"/>
    <xf numFmtId="176" fontId="0" fillId="3" borderId="11" xfId="0" applyNumberFormat="1" applyFill="1" applyBorder="1"/>
    <xf numFmtId="176" fontId="0" fillId="0" borderId="38" xfId="0" applyNumberFormat="1" applyFill="1" applyBorder="1"/>
    <xf numFmtId="176" fontId="0" fillId="3" borderId="38" xfId="0" applyNumberFormat="1" applyFill="1" applyBorder="1"/>
    <xf numFmtId="176" fontId="0" fillId="3" borderId="39" xfId="0" applyNumberFormat="1" applyFill="1" applyBorder="1"/>
    <xf numFmtId="0" fontId="0" fillId="0" borderId="19" xfId="0" applyBorder="1"/>
    <xf numFmtId="176" fontId="0" fillId="0" borderId="40" xfId="0" applyNumberFormat="1" applyFill="1" applyBorder="1"/>
    <xf numFmtId="176" fontId="0" fillId="3" borderId="40" xfId="0" applyNumberFormat="1" applyFill="1" applyBorder="1"/>
    <xf numFmtId="176" fontId="0" fillId="3" borderId="41" xfId="0" applyNumberFormat="1" applyFill="1" applyBorder="1"/>
    <xf numFmtId="0" fontId="5" fillId="0" borderId="29" xfId="0" applyFont="1" applyBorder="1"/>
    <xf numFmtId="49" fontId="0" fillId="0" borderId="0" xfId="0" applyNumberFormat="1" applyBorder="1"/>
    <xf numFmtId="0" fontId="0" fillId="0" borderId="9" xfId="0" applyBorder="1" applyAlignment="1">
      <alignment horizontal="right"/>
    </xf>
    <xf numFmtId="176" fontId="0" fillId="3" borderId="0" xfId="0" applyNumberFormat="1" applyFill="1" applyBorder="1"/>
    <xf numFmtId="176" fontId="0" fillId="0" borderId="22" xfId="0" applyNumberFormat="1" applyBorder="1"/>
    <xf numFmtId="176" fontId="0" fillId="0" borderId="29" xfId="0" applyNumberFormat="1" applyFill="1" applyBorder="1"/>
    <xf numFmtId="176" fontId="0" fillId="3" borderId="30" xfId="0" applyNumberFormat="1" applyFill="1" applyBorder="1"/>
    <xf numFmtId="176" fontId="0" fillId="3" borderId="8" xfId="0" applyNumberFormat="1" applyFill="1" applyBorder="1"/>
    <xf numFmtId="176" fontId="0" fillId="0" borderId="15" xfId="0" applyNumberFormat="1" applyBorder="1"/>
    <xf numFmtId="176" fontId="0" fillId="0" borderId="14" xfId="0" applyNumberFormat="1" applyBorder="1"/>
    <xf numFmtId="0" fontId="2" fillId="0" borderId="5" xfId="0" applyFont="1" applyBorder="1"/>
    <xf numFmtId="0" fontId="0" fillId="0" borderId="29" xfId="0" applyBorder="1"/>
    <xf numFmtId="0" fontId="0" fillId="0" borderId="30" xfId="0" applyBorder="1"/>
    <xf numFmtId="0" fontId="0" fillId="0" borderId="22" xfId="0" applyBorder="1"/>
    <xf numFmtId="0" fontId="0" fillId="0" borderId="30" xfId="0" applyFill="1" applyBorder="1"/>
    <xf numFmtId="176" fontId="0" fillId="0" borderId="19" xfId="0" applyNumberFormat="1" applyBorder="1"/>
    <xf numFmtId="0" fontId="2" fillId="0" borderId="42" xfId="0" applyFont="1" applyFill="1" applyBorder="1" applyAlignment="1">
      <alignment vertical="center"/>
    </xf>
    <xf numFmtId="0" fontId="5" fillId="4" borderId="43" xfId="0" applyFont="1" applyFill="1" applyBorder="1" applyAlignment="1">
      <alignment vertical="center"/>
    </xf>
    <xf numFmtId="0" fontId="5" fillId="4" borderId="44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176" fontId="5" fillId="4" borderId="5" xfId="0" applyNumberFormat="1" applyFont="1" applyFill="1" applyBorder="1"/>
    <xf numFmtId="0" fontId="5" fillId="4" borderId="0" xfId="0" applyFont="1" applyFill="1" applyBorder="1"/>
    <xf numFmtId="176" fontId="5" fillId="4" borderId="0" xfId="0" applyNumberFormat="1" applyFont="1" applyFill="1" applyBorder="1"/>
    <xf numFmtId="0" fontId="5" fillId="0" borderId="43" xfId="0" applyFont="1" applyFill="1" applyBorder="1" applyAlignment="1">
      <alignment vertical="center" wrapText="1"/>
    </xf>
    <xf numFmtId="0" fontId="5" fillId="2" borderId="45" xfId="0" applyFont="1" applyFill="1" applyBorder="1" applyAlignment="1">
      <alignment vertical="center"/>
    </xf>
    <xf numFmtId="0" fontId="5" fillId="0" borderId="46" xfId="0" applyFont="1" applyBorder="1"/>
    <xf numFmtId="0" fontId="5" fillId="0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5" fillId="0" borderId="2" xfId="0" applyFont="1" applyBorder="1"/>
    <xf numFmtId="0" fontId="5" fillId="0" borderId="46" xfId="0" applyFont="1" applyBorder="1" applyAlignment="1"/>
    <xf numFmtId="0" fontId="0" fillId="0" borderId="8" xfId="0" applyFill="1" applyBorder="1"/>
    <xf numFmtId="0" fontId="11" fillId="0" borderId="5" xfId="0" applyFont="1" applyBorder="1"/>
    <xf numFmtId="0" fontId="5" fillId="2" borderId="26" xfId="0" applyFont="1" applyFill="1" applyBorder="1" applyAlignment="1">
      <alignment vertical="center"/>
    </xf>
    <xf numFmtId="0" fontId="5" fillId="0" borderId="24" xfId="0" applyFont="1" applyBorder="1"/>
    <xf numFmtId="0" fontId="5" fillId="2" borderId="22" xfId="0" applyFont="1" applyFill="1" applyBorder="1"/>
    <xf numFmtId="0" fontId="5" fillId="2" borderId="30" xfId="0" applyFont="1" applyFill="1" applyBorder="1"/>
    <xf numFmtId="0" fontId="5" fillId="4" borderId="22" xfId="0" applyFont="1" applyFill="1" applyBorder="1"/>
    <xf numFmtId="0" fontId="5" fillId="4" borderId="30" xfId="0" applyFont="1" applyFill="1" applyBorder="1"/>
    <xf numFmtId="0" fontId="3" fillId="0" borderId="14" xfId="0" applyFont="1" applyBorder="1"/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1" fillId="5" borderId="13" xfId="0" applyFont="1" applyFill="1" applyBorder="1"/>
    <xf numFmtId="0" fontId="11" fillId="5" borderId="6" xfId="0" applyFont="1" applyFill="1" applyBorder="1"/>
    <xf numFmtId="0" fontId="11" fillId="5" borderId="7" xfId="0" applyFont="1" applyFill="1" applyBorder="1"/>
    <xf numFmtId="0" fontId="11" fillId="5" borderId="8" xfId="0" applyFont="1" applyFill="1" applyBorder="1"/>
    <xf numFmtId="0" fontId="3" fillId="5" borderId="14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5" borderId="15" xfId="0" applyFont="1" applyFill="1" applyBorder="1"/>
    <xf numFmtId="0" fontId="3" fillId="5" borderId="5" xfId="0" applyFont="1" applyFill="1" applyBorder="1"/>
    <xf numFmtId="0" fontId="3" fillId="5" borderId="0" xfId="0" applyFont="1" applyFill="1" applyBorder="1"/>
    <xf numFmtId="0" fontId="3" fillId="5" borderId="9" xfId="0" applyFont="1" applyFill="1" applyBorder="1"/>
    <xf numFmtId="0" fontId="6" fillId="5" borderId="14" xfId="0" applyFont="1" applyFill="1" applyBorder="1"/>
    <xf numFmtId="0" fontId="6" fillId="5" borderId="10" xfId="0" applyFont="1" applyFill="1" applyBorder="1"/>
    <xf numFmtId="0" fontId="6" fillId="5" borderId="11" xfId="0" applyFont="1" applyFill="1" applyBorder="1"/>
    <xf numFmtId="0" fontId="6" fillId="5" borderId="12" xfId="0" applyFont="1" applyFill="1" applyBorder="1"/>
    <xf numFmtId="0" fontId="11" fillId="5" borderId="15" xfId="0" applyFont="1" applyFill="1" applyBorder="1"/>
    <xf numFmtId="0" fontId="3" fillId="5" borderId="13" xfId="0" applyFont="1" applyFill="1" applyBorder="1"/>
    <xf numFmtId="0" fontId="3" fillId="5" borderId="7" xfId="0" applyFont="1" applyFill="1" applyBorder="1"/>
    <xf numFmtId="0" fontId="3" fillId="5" borderId="8" xfId="0" applyFont="1" applyFill="1" applyBorder="1"/>
    <xf numFmtId="0" fontId="0" fillId="0" borderId="22" xfId="0" applyFill="1" applyBorder="1"/>
    <xf numFmtId="178" fontId="5" fillId="0" borderId="6" xfId="0" applyNumberFormat="1" applyFont="1" applyFill="1" applyBorder="1"/>
    <xf numFmtId="178" fontId="5" fillId="0" borderId="5" xfId="0" applyNumberFormat="1" applyFont="1" applyFill="1" applyBorder="1"/>
    <xf numFmtId="178" fontId="5" fillId="0" borderId="10" xfId="0" applyNumberFormat="1" applyFont="1" applyFill="1" applyBorder="1"/>
    <xf numFmtId="0" fontId="5" fillId="0" borderId="44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176" fontId="0" fillId="0" borderId="29" xfId="0" applyNumberFormat="1" applyBorder="1"/>
    <xf numFmtId="0" fontId="5" fillId="0" borderId="19" xfId="0" applyFont="1" applyBorder="1"/>
    <xf numFmtId="0" fontId="0" fillId="0" borderId="13" xfId="0" applyFill="1" applyBorder="1"/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Border="1" applyAlignment="1"/>
    <xf numFmtId="0" fontId="0" fillId="0" borderId="15" xfId="0" applyFill="1" applyBorder="1"/>
    <xf numFmtId="0" fontId="0" fillId="0" borderId="15" xfId="0" applyBorder="1" applyAlignment="1"/>
    <xf numFmtId="0" fontId="0" fillId="0" borderId="12" xfId="0" applyFill="1" applyBorder="1"/>
    <xf numFmtId="0" fontId="5" fillId="0" borderId="0" xfId="0" applyFont="1"/>
    <xf numFmtId="0" fontId="3" fillId="0" borderId="0" xfId="0" applyFont="1"/>
    <xf numFmtId="0" fontId="0" fillId="0" borderId="0" xfId="0" applyAlignment="1"/>
    <xf numFmtId="0" fontId="5" fillId="0" borderId="0" xfId="0" applyFont="1" applyBorder="1"/>
    <xf numFmtId="0" fontId="11" fillId="0" borderId="13" xfId="0" applyFont="1" applyFill="1" applyBorder="1"/>
    <xf numFmtId="0" fontId="0" fillId="0" borderId="0" xfId="0" applyFill="1"/>
    <xf numFmtId="0" fontId="3" fillId="0" borderId="14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/>
    <xf numFmtId="177" fontId="3" fillId="0" borderId="0" xfId="0" applyNumberFormat="1" applyFont="1" applyFill="1" applyBorder="1" applyAlignment="1">
      <alignment vertical="center"/>
    </xf>
    <xf numFmtId="178" fontId="11" fillId="5" borderId="6" xfId="0" applyNumberFormat="1" applyFont="1" applyFill="1" applyBorder="1"/>
    <xf numFmtId="178" fontId="11" fillId="5" borderId="7" xfId="0" applyNumberFormat="1" applyFont="1" applyFill="1" applyBorder="1"/>
    <xf numFmtId="178" fontId="11" fillId="5" borderId="8" xfId="0" applyNumberFormat="1" applyFont="1" applyFill="1" applyBorder="1"/>
    <xf numFmtId="178" fontId="3" fillId="5" borderId="5" xfId="0" applyNumberFormat="1" applyFont="1" applyFill="1" applyBorder="1"/>
    <xf numFmtId="178" fontId="3" fillId="5" borderId="0" xfId="0" applyNumberFormat="1" applyFont="1" applyFill="1" applyBorder="1"/>
    <xf numFmtId="178" fontId="3" fillId="5" borderId="9" xfId="0" applyNumberFormat="1" applyFont="1" applyFill="1" applyBorder="1"/>
    <xf numFmtId="178" fontId="6" fillId="5" borderId="10" xfId="0" applyNumberFormat="1" applyFont="1" applyFill="1" applyBorder="1"/>
    <xf numFmtId="178" fontId="6" fillId="5" borderId="11" xfId="0" applyNumberFormat="1" applyFont="1" applyFill="1" applyBorder="1"/>
    <xf numFmtId="178" fontId="6" fillId="5" borderId="12" xfId="0" applyNumberFormat="1" applyFont="1" applyFill="1" applyBorder="1"/>
    <xf numFmtId="0" fontId="5" fillId="4" borderId="3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177" fontId="5" fillId="3" borderId="6" xfId="0" applyNumberFormat="1" applyFont="1" applyFill="1" applyBorder="1" applyAlignment="1">
      <alignment horizontal="center" vertical="center"/>
    </xf>
    <xf numFmtId="177" fontId="5" fillId="3" borderId="7" xfId="0" applyNumberFormat="1" applyFont="1" applyFill="1" applyBorder="1" applyAlignment="1">
      <alignment horizontal="center" vertical="center"/>
    </xf>
    <xf numFmtId="177" fontId="5" fillId="3" borderId="10" xfId="0" applyNumberFormat="1" applyFont="1" applyFill="1" applyBorder="1" applyAlignment="1">
      <alignment horizontal="center" vertical="center"/>
    </xf>
    <xf numFmtId="177" fontId="5" fillId="3" borderId="1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77" fontId="5" fillId="3" borderId="0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7" fontId="5" fillId="3" borderId="14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4" fillId="0" borderId="10" xfId="1" applyBorder="1" applyAlignment="1">
      <alignment horizontal="left" vertical="top"/>
    </xf>
    <xf numFmtId="0" fontId="14" fillId="0" borderId="11" xfId="1" applyBorder="1" applyAlignment="1">
      <alignment horizontal="left" vertical="top"/>
    </xf>
    <xf numFmtId="0" fontId="14" fillId="0" borderId="12" xfId="1" applyBorder="1" applyAlignment="1">
      <alignment horizontal="left" vertical="top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7" fontId="5" fillId="3" borderId="13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ki.biligame.com/blhx/%E4%BB%8E%E9%9B%B6%E5%BC%80%E5%A7%8B%E7%9A%84%E8%B0%83%E9%80%9F%E8%AF%A6%E8%A7%A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0"/>
  <sheetViews>
    <sheetView showGridLines="0" tabSelected="1" zoomScale="85" zoomScaleNormal="85" workbookViewId="0">
      <selection activeCell="R27" sqref="R27"/>
    </sheetView>
  </sheetViews>
  <sheetFormatPr defaultColWidth="10.77734375" defaultRowHeight="13.8" x14ac:dyDescent="0.25"/>
  <cols>
    <col min="1" max="1" width="10.77734375" customWidth="1"/>
    <col min="10" max="14" width="10.77734375" customWidth="1"/>
    <col min="16" max="16" width="10.77734375" customWidth="1"/>
  </cols>
  <sheetData>
    <row r="1" spans="1:20" ht="13.8" customHeight="1" x14ac:dyDescent="0.25">
      <c r="A1" s="273" t="s">
        <v>29</v>
      </c>
      <c r="B1" s="274"/>
      <c r="C1" s="280" t="s">
        <v>11</v>
      </c>
      <c r="D1" s="65" t="s">
        <v>12</v>
      </c>
      <c r="E1" s="284" t="s">
        <v>272</v>
      </c>
      <c r="F1" s="285"/>
      <c r="G1" s="285"/>
      <c r="H1" s="285"/>
      <c r="I1" s="285"/>
      <c r="J1" s="285"/>
      <c r="K1" s="285"/>
      <c r="L1" s="285"/>
      <c r="M1" s="285"/>
      <c r="N1" s="285"/>
      <c r="O1" s="286"/>
      <c r="P1" s="150" t="s">
        <v>219</v>
      </c>
      <c r="Q1" s="108">
        <v>1.3</v>
      </c>
      <c r="R1" s="113" t="s">
        <v>221</v>
      </c>
      <c r="S1" s="36"/>
      <c r="T1" s="36"/>
    </row>
    <row r="2" spans="1:20" ht="13.8" customHeight="1" thickBot="1" x14ac:dyDescent="0.3">
      <c r="A2" s="275"/>
      <c r="B2" s="276"/>
      <c r="C2" s="281"/>
      <c r="D2" s="66" t="s">
        <v>30</v>
      </c>
      <c r="E2" s="296" t="s">
        <v>271</v>
      </c>
      <c r="F2" s="297"/>
      <c r="G2" s="297"/>
      <c r="H2" s="297"/>
      <c r="I2" s="297"/>
      <c r="J2" s="297"/>
      <c r="K2" s="297"/>
      <c r="L2" s="297"/>
      <c r="M2" s="297"/>
      <c r="N2" s="297"/>
      <c r="O2" s="298"/>
      <c r="P2" s="151" t="s">
        <v>220</v>
      </c>
      <c r="Q2" s="111">
        <v>0.1</v>
      </c>
      <c r="R2" s="112" t="s">
        <v>221</v>
      </c>
      <c r="S2" s="1"/>
      <c r="T2" s="1"/>
    </row>
    <row r="3" spans="1:20" ht="14.4" customHeight="1" thickBot="1" x14ac:dyDescent="0.3">
      <c r="A3" s="277" t="s">
        <v>66</v>
      </c>
      <c r="B3" s="278"/>
      <c r="C3" s="279"/>
      <c r="D3" s="67" t="s">
        <v>13</v>
      </c>
      <c r="E3" s="296" t="s">
        <v>274</v>
      </c>
      <c r="F3" s="297"/>
      <c r="G3" s="297"/>
      <c r="H3" s="297"/>
      <c r="I3" s="297"/>
      <c r="J3" s="297"/>
      <c r="K3" s="297"/>
      <c r="L3" s="297"/>
      <c r="M3" s="297"/>
      <c r="N3" s="297"/>
      <c r="O3" s="298"/>
      <c r="P3" s="151" t="str">
        <f>计算过程!AM1</f>
        <v>公共cd</v>
      </c>
      <c r="Q3" s="111">
        <f>计算过程!AN1</f>
        <v>0.6</v>
      </c>
      <c r="R3" s="112" t="s">
        <v>221</v>
      </c>
      <c r="S3" s="36"/>
      <c r="T3" s="36"/>
    </row>
    <row r="4" spans="1:20" ht="13.8" customHeight="1" thickBot="1" x14ac:dyDescent="0.3">
      <c r="A4" s="287" t="s">
        <v>123</v>
      </c>
      <c r="B4" s="288"/>
      <c r="C4" s="288"/>
      <c r="D4" s="289"/>
      <c r="E4" s="299" t="s">
        <v>273</v>
      </c>
      <c r="F4" s="300"/>
      <c r="G4" s="300"/>
      <c r="H4" s="300"/>
      <c r="I4" s="300"/>
      <c r="J4" s="300"/>
      <c r="K4" s="300"/>
      <c r="L4" s="300"/>
      <c r="M4" s="300"/>
      <c r="N4" s="300"/>
      <c r="O4" s="301"/>
      <c r="P4" s="152" t="s">
        <v>314</v>
      </c>
      <c r="Q4" s="116">
        <v>1</v>
      </c>
      <c r="R4" s="117" t="s">
        <v>221</v>
      </c>
      <c r="S4" s="1"/>
      <c r="T4" s="1"/>
    </row>
    <row r="5" spans="1:20" ht="13.8" customHeight="1" thickBot="1" x14ac:dyDescent="0.3">
      <c r="A5" s="290"/>
      <c r="B5" s="291"/>
      <c r="C5" s="291"/>
      <c r="D5" s="292"/>
      <c r="E5" s="293" t="s">
        <v>122</v>
      </c>
      <c r="F5" s="294"/>
      <c r="G5" s="294"/>
      <c r="H5" s="294"/>
      <c r="I5" s="294"/>
      <c r="J5" s="294"/>
      <c r="K5" s="294"/>
      <c r="L5" s="294"/>
      <c r="M5" s="294"/>
      <c r="N5" s="294"/>
      <c r="O5" s="295"/>
      <c r="P5" s="152" t="s">
        <v>315</v>
      </c>
      <c r="Q5" s="116">
        <v>0.3</v>
      </c>
      <c r="R5" s="117" t="s">
        <v>221</v>
      </c>
      <c r="S5" s="36"/>
      <c r="T5" s="36"/>
    </row>
    <row r="6" spans="1:20" ht="14.4" thickBot="1" x14ac:dyDescent="0.3">
      <c r="A6" s="282" t="s">
        <v>434</v>
      </c>
      <c r="B6" s="10" t="s">
        <v>16</v>
      </c>
      <c r="C6" s="2" t="s">
        <v>83</v>
      </c>
      <c r="D6" s="33" t="str">
        <f>VLOOKUP(A6,计算过程!N:AA,11,FALSE)</f>
        <v>战斗机</v>
      </c>
      <c r="E6" s="68" t="str">
        <f>VLOOKUP(A6,计算过程!N:AA,12,FALSE)</f>
        <v>轰炸机</v>
      </c>
      <c r="F6" s="68" t="str">
        <f>VLOOKUP(A6,计算过程!N:AA,13,FALSE)</f>
        <v>鱼雷机</v>
      </c>
      <c r="G6" s="69" t="s">
        <v>3</v>
      </c>
      <c r="H6" s="70" t="s">
        <v>4</v>
      </c>
      <c r="I6" s="71" t="s">
        <v>17</v>
      </c>
      <c r="J6" s="71" t="s">
        <v>244</v>
      </c>
      <c r="K6" s="72" t="s">
        <v>5</v>
      </c>
      <c r="L6" s="35" t="s">
        <v>443</v>
      </c>
      <c r="M6" s="48" t="s">
        <v>430</v>
      </c>
      <c r="N6" s="35" t="s">
        <v>32</v>
      </c>
      <c r="O6" s="4" t="s">
        <v>25</v>
      </c>
      <c r="P6" s="4" t="s">
        <v>26</v>
      </c>
      <c r="Q6" s="4" t="s">
        <v>27</v>
      </c>
      <c r="R6" s="3" t="s">
        <v>28</v>
      </c>
      <c r="T6" s="7"/>
    </row>
    <row r="7" spans="1:20" x14ac:dyDescent="0.25">
      <c r="A7" s="283"/>
      <c r="B7" s="265" t="s">
        <v>228</v>
      </c>
      <c r="C7" s="226">
        <v>120</v>
      </c>
      <c r="D7" s="99" t="s">
        <v>49</v>
      </c>
      <c r="E7" s="100" t="s">
        <v>84</v>
      </c>
      <c r="F7" s="100" t="s">
        <v>48</v>
      </c>
      <c r="G7" s="190" t="s">
        <v>409</v>
      </c>
      <c r="H7" s="190" t="s">
        <v>204</v>
      </c>
      <c r="I7" s="312" t="s">
        <v>204</v>
      </c>
      <c r="J7" s="302">
        <v>23</v>
      </c>
      <c r="K7" s="226">
        <v>33</v>
      </c>
      <c r="L7" s="187" t="s">
        <v>444</v>
      </c>
      <c r="M7" s="309" t="str">
        <f>IF(COUNTIF(A6:A14,"卡萨布兰卡"),"是",IF(COUNTIF(A6:A14,"独立·改"),"是","否"))</f>
        <v>否</v>
      </c>
      <c r="N7" s="187" t="s">
        <v>14</v>
      </c>
      <c r="O7" s="271">
        <v>0.12</v>
      </c>
      <c r="P7" s="271">
        <v>0</v>
      </c>
      <c r="Q7" s="317">
        <f>VLOOKUP(A6,计算过程!N:AA,14,FALSE)</f>
        <v>0</v>
      </c>
      <c r="R7" s="307">
        <v>0</v>
      </c>
      <c r="T7" s="37"/>
    </row>
    <row r="8" spans="1:20" ht="13.8" customHeight="1" thickBot="1" x14ac:dyDescent="0.3">
      <c r="A8" s="283"/>
      <c r="B8" s="266"/>
      <c r="C8" s="227"/>
      <c r="D8" s="101" t="s">
        <v>448</v>
      </c>
      <c r="E8" s="34" t="s">
        <v>447</v>
      </c>
      <c r="F8" s="34" t="s">
        <v>446</v>
      </c>
      <c r="G8" s="191"/>
      <c r="H8" s="191"/>
      <c r="I8" s="313"/>
      <c r="J8" s="303"/>
      <c r="K8" s="305"/>
      <c r="L8" s="188"/>
      <c r="M8" s="310"/>
      <c r="N8" s="188"/>
      <c r="O8" s="315"/>
      <c r="P8" s="315"/>
      <c r="Q8" s="318"/>
      <c r="R8" s="316"/>
    </row>
    <row r="9" spans="1:20" ht="14.4" customHeight="1" thickBot="1" x14ac:dyDescent="0.3">
      <c r="A9" s="268" t="s">
        <v>442</v>
      </c>
      <c r="B9" s="10" t="s">
        <v>16</v>
      </c>
      <c r="C9" s="6" t="s">
        <v>83</v>
      </c>
      <c r="D9" s="98" t="str">
        <f>VLOOKUP(A9,计算过程!N:AA,11,FALSE)</f>
        <v>战斗机</v>
      </c>
      <c r="E9" s="68" t="str">
        <f>VLOOKUP(A9,计算过程!N:AA,12,FALSE)</f>
        <v>轰炸机</v>
      </c>
      <c r="F9" s="68" t="str">
        <f>VLOOKUP(A9,计算过程!N:AA,13,FALSE)</f>
        <v>鱼雷机</v>
      </c>
      <c r="G9" s="102" t="s">
        <v>3</v>
      </c>
      <c r="H9" s="103" t="s">
        <v>4</v>
      </c>
      <c r="I9" s="313"/>
      <c r="J9" s="303"/>
      <c r="K9" s="10" t="s">
        <v>5</v>
      </c>
      <c r="L9" s="35" t="s">
        <v>443</v>
      </c>
      <c r="M9" s="310"/>
      <c r="N9" s="35" t="s">
        <v>32</v>
      </c>
      <c r="O9" s="4" t="s">
        <v>25</v>
      </c>
      <c r="P9" s="4" t="s">
        <v>26</v>
      </c>
      <c r="Q9" s="4" t="s">
        <v>27</v>
      </c>
      <c r="R9" s="3" t="s">
        <v>28</v>
      </c>
      <c r="T9" s="37"/>
    </row>
    <row r="10" spans="1:20" x14ac:dyDescent="0.25">
      <c r="A10" s="268"/>
      <c r="B10" s="265" t="s">
        <v>228</v>
      </c>
      <c r="C10" s="226">
        <v>120</v>
      </c>
      <c r="D10" s="99" t="s">
        <v>49</v>
      </c>
      <c r="E10" s="100" t="s">
        <v>84</v>
      </c>
      <c r="F10" s="100" t="s">
        <v>48</v>
      </c>
      <c r="G10" s="190" t="s">
        <v>409</v>
      </c>
      <c r="H10" s="190" t="s">
        <v>204</v>
      </c>
      <c r="I10" s="313"/>
      <c r="J10" s="303"/>
      <c r="K10" s="226">
        <v>33</v>
      </c>
      <c r="L10" s="187" t="s">
        <v>444</v>
      </c>
      <c r="M10" s="310"/>
      <c r="N10" s="187" t="s">
        <v>14</v>
      </c>
      <c r="O10" s="271">
        <v>0.12</v>
      </c>
      <c r="P10" s="271">
        <v>0</v>
      </c>
      <c r="Q10" s="317">
        <f>VLOOKUP(A9,计算过程!N:AA,14,FALSE)</f>
        <v>0</v>
      </c>
      <c r="R10" s="307">
        <v>0</v>
      </c>
    </row>
    <row r="11" spans="1:20" ht="14.4" thickBot="1" x14ac:dyDescent="0.3">
      <c r="A11" s="268"/>
      <c r="B11" s="266"/>
      <c r="C11" s="227"/>
      <c r="D11" s="101" t="s">
        <v>448</v>
      </c>
      <c r="E11" s="34" t="s">
        <v>447</v>
      </c>
      <c r="F11" s="34" t="s">
        <v>446</v>
      </c>
      <c r="G11" s="191"/>
      <c r="H11" s="191"/>
      <c r="I11" s="313"/>
      <c r="J11" s="303"/>
      <c r="K11" s="227"/>
      <c r="L11" s="188"/>
      <c r="M11" s="310"/>
      <c r="N11" s="189"/>
      <c r="O11" s="272"/>
      <c r="P11" s="272"/>
      <c r="Q11" s="318"/>
      <c r="R11" s="308"/>
    </row>
    <row r="12" spans="1:20" ht="14.4" thickBot="1" x14ac:dyDescent="0.3">
      <c r="A12" s="262" t="s">
        <v>54</v>
      </c>
      <c r="B12" s="10" t="s">
        <v>6</v>
      </c>
      <c r="C12" s="6" t="s">
        <v>83</v>
      </c>
      <c r="D12" s="98" t="str">
        <f>VLOOKUP(A12,计算过程!N:AA,11,FALSE)</f>
        <v>战斗机</v>
      </c>
      <c r="E12" s="68" t="str">
        <f>VLOOKUP(A12,计算过程!N:AA,12,FALSE)</f>
        <v>轰炸机</v>
      </c>
      <c r="F12" s="68" t="str">
        <f>VLOOKUP(A12,计算过程!N:AA,13,FALSE)</f>
        <v>鱼雷机</v>
      </c>
      <c r="G12" s="102" t="s">
        <v>3</v>
      </c>
      <c r="H12" s="103" t="s">
        <v>4</v>
      </c>
      <c r="I12" s="313"/>
      <c r="J12" s="303"/>
      <c r="K12" s="10" t="s">
        <v>5</v>
      </c>
      <c r="L12" s="35" t="s">
        <v>443</v>
      </c>
      <c r="M12" s="310"/>
      <c r="N12" s="35" t="s">
        <v>32</v>
      </c>
      <c r="O12" s="4" t="s">
        <v>25</v>
      </c>
      <c r="P12" s="4" t="s">
        <v>26</v>
      </c>
      <c r="Q12" s="4" t="s">
        <v>27</v>
      </c>
      <c r="R12" s="3" t="s">
        <v>28</v>
      </c>
    </row>
    <row r="13" spans="1:20" x14ac:dyDescent="0.25">
      <c r="A13" s="263"/>
      <c r="B13" s="265" t="s">
        <v>439</v>
      </c>
      <c r="C13" s="226">
        <v>120</v>
      </c>
      <c r="D13" s="99" t="s">
        <v>49</v>
      </c>
      <c r="E13" s="100" t="s">
        <v>84</v>
      </c>
      <c r="F13" s="100" t="s">
        <v>48</v>
      </c>
      <c r="G13" s="190" t="s">
        <v>204</v>
      </c>
      <c r="H13" s="190" t="s">
        <v>204</v>
      </c>
      <c r="I13" s="313"/>
      <c r="J13" s="303"/>
      <c r="K13" s="226">
        <v>33</v>
      </c>
      <c r="L13" s="187" t="s">
        <v>14</v>
      </c>
      <c r="M13" s="310"/>
      <c r="N13" s="187" t="s">
        <v>14</v>
      </c>
      <c r="O13" s="271">
        <v>0</v>
      </c>
      <c r="P13" s="271">
        <v>0</v>
      </c>
      <c r="Q13" s="317">
        <f>VLOOKUP(A12,计算过程!N:AA,14,FALSE)</f>
        <v>0</v>
      </c>
      <c r="R13" s="307">
        <v>0</v>
      </c>
    </row>
    <row r="14" spans="1:20" ht="14.4" thickBot="1" x14ac:dyDescent="0.3">
      <c r="A14" s="264"/>
      <c r="B14" s="266"/>
      <c r="C14" s="227"/>
      <c r="D14" s="101" t="s">
        <v>440</v>
      </c>
      <c r="E14" s="34" t="s">
        <v>441</v>
      </c>
      <c r="F14" s="34" t="s">
        <v>429</v>
      </c>
      <c r="G14" s="191"/>
      <c r="H14" s="191"/>
      <c r="I14" s="314"/>
      <c r="J14" s="304"/>
      <c r="K14" s="227"/>
      <c r="L14" s="189"/>
      <c r="M14" s="311"/>
      <c r="N14" s="189"/>
      <c r="O14" s="272"/>
      <c r="P14" s="272"/>
      <c r="Q14" s="319"/>
      <c r="R14" s="308"/>
    </row>
    <row r="15" spans="1:20" ht="14.4" thickBot="1" x14ac:dyDescent="0.3">
      <c r="A15" s="267" t="s">
        <v>382</v>
      </c>
      <c r="B15" s="10" t="s">
        <v>6</v>
      </c>
      <c r="C15" s="2" t="s">
        <v>83</v>
      </c>
      <c r="D15" s="228" t="s">
        <v>276</v>
      </c>
      <c r="E15" s="229"/>
      <c r="F15" s="230"/>
      <c r="G15" s="156" t="s">
        <v>3</v>
      </c>
      <c r="H15" s="157" t="s">
        <v>4</v>
      </c>
      <c r="I15" s="10" t="s">
        <v>17</v>
      </c>
      <c r="J15" s="10" t="s">
        <v>244</v>
      </c>
      <c r="K15" s="10" t="s">
        <v>5</v>
      </c>
      <c r="O15" s="35" t="s">
        <v>25</v>
      </c>
      <c r="P15" s="4" t="s">
        <v>26</v>
      </c>
      <c r="Q15" s="4" t="s">
        <v>27</v>
      </c>
      <c r="R15" s="3" t="s">
        <v>28</v>
      </c>
    </row>
    <row r="16" spans="1:20" x14ac:dyDescent="0.25">
      <c r="A16" s="268"/>
      <c r="B16" s="269" t="s">
        <v>228</v>
      </c>
      <c r="C16" s="226">
        <v>120</v>
      </c>
      <c r="D16" s="231" t="s">
        <v>431</v>
      </c>
      <c r="E16" s="232"/>
      <c r="F16" s="232"/>
      <c r="G16" s="239" t="s">
        <v>432</v>
      </c>
      <c r="H16" s="241" t="s">
        <v>204</v>
      </c>
      <c r="I16" s="243" t="s">
        <v>204</v>
      </c>
      <c r="J16" s="226">
        <v>30</v>
      </c>
      <c r="K16" s="226">
        <v>3</v>
      </c>
      <c r="O16" s="320">
        <v>0.2</v>
      </c>
      <c r="P16" s="322">
        <v>0</v>
      </c>
      <c r="Q16" s="323">
        <f>计算过程!AI122</f>
        <v>1.1499999999999999</v>
      </c>
      <c r="R16" s="324">
        <v>0</v>
      </c>
      <c r="T16" s="1"/>
    </row>
    <row r="17" spans="1:18" ht="13.8" customHeight="1" thickBot="1" x14ac:dyDescent="0.3">
      <c r="A17" s="268"/>
      <c r="B17" s="270"/>
      <c r="C17" s="227"/>
      <c r="D17" s="233"/>
      <c r="E17" s="234"/>
      <c r="F17" s="234"/>
      <c r="G17" s="240"/>
      <c r="H17" s="242"/>
      <c r="I17" s="244"/>
      <c r="J17" s="227"/>
      <c r="K17" s="227"/>
      <c r="O17" s="321"/>
      <c r="P17" s="272"/>
      <c r="Q17" s="319"/>
      <c r="R17" s="308"/>
    </row>
    <row r="18" spans="1:18" ht="14.4" customHeight="1" thickBot="1" x14ac:dyDescent="0.3">
      <c r="A18" s="256" t="s">
        <v>206</v>
      </c>
      <c r="B18" s="257"/>
      <c r="C18" s="258"/>
      <c r="D18" s="254" t="s">
        <v>125</v>
      </c>
      <c r="E18" s="255"/>
      <c r="F18" s="209" t="s">
        <v>252</v>
      </c>
      <c r="G18" s="210"/>
      <c r="H18" s="327" t="s">
        <v>34</v>
      </c>
      <c r="I18" s="328"/>
      <c r="J18" s="328"/>
      <c r="K18" s="328"/>
      <c r="L18" s="328"/>
      <c r="M18" s="328"/>
      <c r="N18" s="328"/>
      <c r="O18" s="328"/>
      <c r="P18" s="329"/>
    </row>
    <row r="19" spans="1:18" ht="14.4" thickBot="1" x14ac:dyDescent="0.3">
      <c r="A19" s="259"/>
      <c r="B19" s="260"/>
      <c r="C19" s="261"/>
      <c r="D19" s="24" t="s">
        <v>41</v>
      </c>
      <c r="E19" s="23" t="s">
        <v>111</v>
      </c>
      <c r="F19" s="211"/>
      <c r="G19" s="212"/>
      <c r="H19" s="330"/>
      <c r="I19" s="331"/>
      <c r="J19" s="331"/>
      <c r="K19" s="331"/>
      <c r="L19" s="331"/>
      <c r="M19" s="331"/>
      <c r="N19" s="331"/>
      <c r="O19" s="331"/>
      <c r="P19" s="332"/>
    </row>
    <row r="20" spans="1:18" ht="14.4" customHeight="1" thickBot="1" x14ac:dyDescent="0.3">
      <c r="A20" s="250" t="str">
        <f>A6</f>
        <v>奥古斯特·冯·帕塞瓦尔</v>
      </c>
      <c r="B20" s="22" t="s">
        <v>33</v>
      </c>
      <c r="C20" s="12" t="s">
        <v>15</v>
      </c>
      <c r="D20" s="215" t="s">
        <v>42</v>
      </c>
      <c r="E20" s="216"/>
      <c r="F20" s="215" t="s">
        <v>124</v>
      </c>
      <c r="G20" s="216"/>
      <c r="H20" s="340" t="s">
        <v>407</v>
      </c>
      <c r="I20" s="341"/>
      <c r="J20" s="142" t="str">
        <f>J24</f>
        <v>奥古斯特·冯·帕塞瓦尔</v>
      </c>
      <c r="K20" s="178">
        <f>计算过程!AJ30</f>
        <v>23.154255037566386</v>
      </c>
      <c r="L20" s="179">
        <f>计算过程!AM30</f>
        <v>41.300871186243882</v>
      </c>
      <c r="M20" s="179">
        <f>计算过程!AP30</f>
        <v>59.447487334921377</v>
      </c>
      <c r="N20" s="179">
        <f>计算过程!AS30</f>
        <v>79.928192919159741</v>
      </c>
      <c r="O20" s="179">
        <f>计算过程!AV30</f>
        <v>99.960862922666479</v>
      </c>
      <c r="P20" s="180">
        <f>计算过程!AY30</f>
        <v>120.21755071653902</v>
      </c>
    </row>
    <row r="21" spans="1:18" x14ac:dyDescent="0.25">
      <c r="A21" s="250"/>
      <c r="B21" s="247">
        <f>计算过程!AJ16</f>
        <v>21.656687793872553</v>
      </c>
      <c r="C21" s="248">
        <f>计算过程!AJ15</f>
        <v>20.256687793872551</v>
      </c>
      <c r="D21" s="200">
        <f>计算过程!AP50</f>
        <v>59.404592035776083</v>
      </c>
      <c r="E21" s="201"/>
      <c r="F21" s="200">
        <f>计算过程!AS50</f>
        <v>79.885297620014441</v>
      </c>
      <c r="G21" s="201"/>
      <c r="H21" s="342"/>
      <c r="I21" s="343"/>
      <c r="J21" s="134" t="str">
        <f>J25</f>
        <v>彼得·史特拉塞</v>
      </c>
      <c r="K21" s="181">
        <f>计算过程!AJ31</f>
        <v>23.754255037566388</v>
      </c>
      <c r="L21" s="182">
        <f>计算过程!AM31</f>
        <v>41.90087118624389</v>
      </c>
      <c r="M21" s="182">
        <f>计算过程!AP31</f>
        <v>60.047487334921385</v>
      </c>
      <c r="N21" s="182">
        <f>计算过程!AS31</f>
        <v>79.328192919159747</v>
      </c>
      <c r="O21" s="182">
        <f>计算过程!AV31</f>
        <v>98.822108730378332</v>
      </c>
      <c r="P21" s="183">
        <f>计算过程!AY31</f>
        <v>118.31602454159692</v>
      </c>
    </row>
    <row r="22" spans="1:18" ht="14.4" thickBot="1" x14ac:dyDescent="0.3">
      <c r="A22" s="251"/>
      <c r="B22" s="247"/>
      <c r="C22" s="248"/>
      <c r="D22" s="202"/>
      <c r="E22" s="203"/>
      <c r="F22" s="202"/>
      <c r="G22" s="203"/>
      <c r="H22" s="344"/>
      <c r="I22" s="345"/>
      <c r="J22" s="138" t="str">
        <f>J26</f>
        <v>翔鹤</v>
      </c>
      <c r="K22" s="184">
        <f>计算过程!AJ32</f>
        <v>24.569885684448558</v>
      </c>
      <c r="L22" s="185">
        <f>计算过程!AM32</f>
        <v>44.646337025462778</v>
      </c>
      <c r="M22" s="185">
        <f>计算过程!AP32</f>
        <v>64.722788366476976</v>
      </c>
      <c r="N22" s="185">
        <f>计算过程!AS32</f>
        <v>87.029956523159441</v>
      </c>
      <c r="O22" s="185">
        <f>计算过程!AV32</f>
        <v>109.33712467984189</v>
      </c>
      <c r="P22" s="186">
        <f>计算过程!AY32</f>
        <v>131.64429283652436</v>
      </c>
    </row>
    <row r="23" spans="1:18" ht="14.4" thickBot="1" x14ac:dyDescent="0.3">
      <c r="A23" s="252" t="str">
        <f>A9</f>
        <v>彼得·史特拉塞</v>
      </c>
      <c r="B23" s="21" t="s">
        <v>33</v>
      </c>
      <c r="C23" s="12" t="s">
        <v>15</v>
      </c>
      <c r="D23" s="215" t="s">
        <v>42</v>
      </c>
      <c r="E23" s="216"/>
      <c r="F23" s="215" t="s">
        <v>124</v>
      </c>
      <c r="G23" s="326"/>
      <c r="I23" s="15" t="s">
        <v>38</v>
      </c>
      <c r="J23" s="25" t="s">
        <v>37</v>
      </c>
      <c r="K23" s="27" t="s">
        <v>68</v>
      </c>
      <c r="L23" s="27" t="s">
        <v>69</v>
      </c>
      <c r="M23" s="27" t="s">
        <v>70</v>
      </c>
      <c r="N23" s="27" t="s">
        <v>71</v>
      </c>
      <c r="O23" s="27" t="s">
        <v>72</v>
      </c>
      <c r="P23" s="28" t="s">
        <v>73</v>
      </c>
    </row>
    <row r="24" spans="1:18" ht="13.8" customHeight="1" x14ac:dyDescent="0.25">
      <c r="A24" s="252"/>
      <c r="B24" s="247">
        <f>计算过程!AO16</f>
        <v>20.893915811218587</v>
      </c>
      <c r="C24" s="248">
        <f>计算过程!AO15</f>
        <v>19.493915811218585</v>
      </c>
      <c r="D24" s="200">
        <f>计算过程!AP51</f>
        <v>60.004592035776085</v>
      </c>
      <c r="E24" s="201"/>
      <c r="F24" s="200">
        <f>计算过程!AS51</f>
        <v>79.285297620014447</v>
      </c>
      <c r="G24" s="201"/>
      <c r="H24" s="325" t="s">
        <v>40</v>
      </c>
      <c r="I24" s="333" t="s">
        <v>36</v>
      </c>
      <c r="J24" s="20" t="str">
        <f>A6</f>
        <v>奥古斯特·冯·帕塞瓦尔</v>
      </c>
      <c r="K24" s="31" t="str">
        <f>计算过程!AI53</f>
        <v>√</v>
      </c>
      <c r="L24" s="31" t="str">
        <f>计算过程!AL53</f>
        <v>√</v>
      </c>
      <c r="M24" s="31" t="str">
        <f>计算过程!AO53</f>
        <v>√</v>
      </c>
      <c r="N24" s="31" t="str">
        <f>计算过程!AR53</f>
        <v>√</v>
      </c>
      <c r="O24" s="31" t="str">
        <f>计算过程!AU53</f>
        <v>√</v>
      </c>
      <c r="P24" s="32" t="str">
        <f>计算过程!AX53</f>
        <v>√</v>
      </c>
    </row>
    <row r="25" spans="1:18" ht="14.4" thickBot="1" x14ac:dyDescent="0.3">
      <c r="A25" s="253"/>
      <c r="B25" s="203"/>
      <c r="C25" s="249"/>
      <c r="D25" s="202"/>
      <c r="E25" s="203"/>
      <c r="F25" s="202"/>
      <c r="G25" s="203"/>
      <c r="H25" s="209"/>
      <c r="I25" s="334"/>
      <c r="J25" s="16" t="str">
        <f>A9</f>
        <v>彼得·史特拉塞</v>
      </c>
      <c r="K25" s="26" t="str">
        <f>计算过程!AI54</f>
        <v>√</v>
      </c>
      <c r="L25" s="26" t="str">
        <f>计算过程!AL54</f>
        <v>√</v>
      </c>
      <c r="M25" s="26" t="str">
        <f>计算过程!AO54</f>
        <v>√</v>
      </c>
      <c r="N25" s="26" t="str">
        <f>计算过程!AR54</f>
        <v>√</v>
      </c>
      <c r="O25" s="26" t="str">
        <f>计算过程!AU54</f>
        <v>√</v>
      </c>
      <c r="P25" s="29" t="str">
        <f>计算过程!AX54</f>
        <v>√</v>
      </c>
    </row>
    <row r="26" spans="1:18" ht="13.8" customHeight="1" thickBot="1" x14ac:dyDescent="0.3">
      <c r="A26" s="245" t="str">
        <f>A12</f>
        <v>翔鹤</v>
      </c>
      <c r="B26" s="21" t="s">
        <v>33</v>
      </c>
      <c r="C26" s="12" t="s">
        <v>15</v>
      </c>
      <c r="D26" s="215" t="s">
        <v>42</v>
      </c>
      <c r="E26" s="216"/>
      <c r="F26" s="215" t="s">
        <v>124</v>
      </c>
      <c r="G26" s="216"/>
      <c r="H26" s="209"/>
      <c r="I26" s="335"/>
      <c r="J26" s="19" t="str">
        <f>A12</f>
        <v>翔鹤</v>
      </c>
      <c r="K26" s="54" t="str">
        <f>计算过程!AI55</f>
        <v>√</v>
      </c>
      <c r="L26" s="54" t="str">
        <f>计算过程!AL55</f>
        <v>√</v>
      </c>
      <c r="M26" s="54" t="str">
        <f>计算过程!AO55</f>
        <v>√</v>
      </c>
      <c r="N26" s="54" t="str">
        <f>计算过程!AR55</f>
        <v>×,偏慢</v>
      </c>
      <c r="O26" s="54" t="str">
        <f>计算过程!AU55</f>
        <v>×,偏慢</v>
      </c>
      <c r="P26" s="55" t="str">
        <f>计算过程!AX55</f>
        <v>×,偏慢</v>
      </c>
    </row>
    <row r="27" spans="1:18" ht="13.8" customHeight="1" x14ac:dyDescent="0.25">
      <c r="A27" s="245"/>
      <c r="B27" s="247">
        <f>计算过程!AT16</f>
        <v>23.70716815668246</v>
      </c>
      <c r="C27" s="248">
        <f>计算过程!AT15</f>
        <v>22.307168156682458</v>
      </c>
      <c r="D27" s="200">
        <f>计算过程!AP52</f>
        <v>65.65527994896857</v>
      </c>
      <c r="E27" s="201"/>
      <c r="F27" s="200">
        <f>计算过程!AS52</f>
        <v>87.962448105651035</v>
      </c>
      <c r="G27" s="201"/>
      <c r="H27" s="209"/>
      <c r="I27" s="235" t="s">
        <v>35</v>
      </c>
      <c r="J27" s="142" t="str">
        <f>A6</f>
        <v>奥古斯特·冯·帕塞瓦尔</v>
      </c>
      <c r="K27" s="127" t="str">
        <f>计算过程!AJ53</f>
        <v>√</v>
      </c>
      <c r="L27" s="128" t="str">
        <f>计算过程!AM53</f>
        <v>√</v>
      </c>
      <c r="M27" s="128" t="str">
        <f>计算过程!AP53</f>
        <v>×,偏快</v>
      </c>
      <c r="N27" s="128" t="str">
        <f>计算过程!AS53</f>
        <v>×,偏快</v>
      </c>
      <c r="O27" s="128" t="str">
        <f>计算过程!AV53</f>
        <v>×,偏快</v>
      </c>
      <c r="P27" s="129" t="str">
        <f>计算过程!AY53</f>
        <v>√</v>
      </c>
    </row>
    <row r="28" spans="1:18" ht="14.4" thickBot="1" x14ac:dyDescent="0.3">
      <c r="A28" s="246"/>
      <c r="B28" s="203"/>
      <c r="C28" s="249"/>
      <c r="D28" s="202"/>
      <c r="E28" s="203"/>
      <c r="F28" s="202"/>
      <c r="G28" s="203"/>
      <c r="H28" s="209"/>
      <c r="I28" s="236"/>
      <c r="J28" s="134" t="str">
        <f>A9</f>
        <v>彼得·史特拉塞</v>
      </c>
      <c r="K28" s="135" t="str">
        <f>计算过程!AJ54</f>
        <v>√</v>
      </c>
      <c r="L28" s="136" t="str">
        <f>计算过程!AM54</f>
        <v>√</v>
      </c>
      <c r="M28" s="136" t="str">
        <f>计算过程!AP54</f>
        <v>×,偏快</v>
      </c>
      <c r="N28" s="136" t="str">
        <f>计算过程!AS54</f>
        <v>×,偏快</v>
      </c>
      <c r="O28" s="136" t="str">
        <f>计算过程!AV54</f>
        <v>×,偏快</v>
      </c>
      <c r="P28" s="137" t="str">
        <f>计算过程!AY54</f>
        <v>×,偏快</v>
      </c>
    </row>
    <row r="29" spans="1:18" ht="14.4" thickBot="1" x14ac:dyDescent="0.3">
      <c r="A29" s="250" t="str">
        <f>A15</f>
        <v>黎塞留</v>
      </c>
      <c r="B29" s="22" t="s">
        <v>33</v>
      </c>
      <c r="C29" s="12" t="s">
        <v>15</v>
      </c>
      <c r="F29" s="215" t="s">
        <v>72</v>
      </c>
      <c r="G29" s="216"/>
      <c r="H29" s="211"/>
      <c r="I29" s="237"/>
      <c r="J29" s="138" t="str">
        <f>A12</f>
        <v>翔鹤</v>
      </c>
      <c r="K29" s="139" t="str">
        <f>计算过程!AJ55</f>
        <v>√</v>
      </c>
      <c r="L29" s="140" t="str">
        <f>计算过程!AM55</f>
        <v>√</v>
      </c>
      <c r="M29" s="140" t="str">
        <f>计算过程!AP55</f>
        <v>√</v>
      </c>
      <c r="N29" s="140" t="str">
        <f>计算过程!AS55</f>
        <v>√</v>
      </c>
      <c r="O29" s="140" t="str">
        <f>计算过程!AV55</f>
        <v>×,偏慢</v>
      </c>
      <c r="P29" s="141" t="str">
        <f>计算过程!AY55</f>
        <v>×,偏慢</v>
      </c>
    </row>
    <row r="30" spans="1:18" x14ac:dyDescent="0.25">
      <c r="A30" s="250"/>
      <c r="B30" s="306">
        <f>计算过程!AI126</f>
        <v>2.5</v>
      </c>
      <c r="C30" s="306">
        <f>计算过程!AI125</f>
        <v>19.291363000426376</v>
      </c>
      <c r="F30" s="200">
        <f>计算过程!AV52</f>
        <v>110.26961626233349</v>
      </c>
      <c r="G30" s="201"/>
      <c r="H30" s="325" t="s">
        <v>410</v>
      </c>
      <c r="I30" s="346"/>
      <c r="J30" s="166" t="str">
        <f>J27</f>
        <v>奥古斯特·冯·帕塞瓦尔</v>
      </c>
      <c r="K30" s="169" t="str">
        <f>计算过程!AI84</f>
        <v>√</v>
      </c>
      <c r="L30" s="170" t="str">
        <f>计算过程!AL84</f>
        <v>×,偏快</v>
      </c>
      <c r="M30" s="170" t="str">
        <f>计算过程!AO84</f>
        <v>√</v>
      </c>
      <c r="N30" s="32" t="str">
        <f>计算过程!AR84</f>
        <v>×,偏慢</v>
      </c>
    </row>
    <row r="31" spans="1:18" ht="14.4" thickBot="1" x14ac:dyDescent="0.3">
      <c r="A31" s="251"/>
      <c r="B31" s="249"/>
      <c r="C31" s="249"/>
      <c r="F31" s="202"/>
      <c r="G31" s="203"/>
      <c r="H31" s="211"/>
      <c r="I31" s="212"/>
      <c r="J31" s="168" t="str">
        <f>J28</f>
        <v>彼得·史特拉塞</v>
      </c>
      <c r="K31" s="172" t="str">
        <f>计算过程!AI85</f>
        <v>×,偏慢</v>
      </c>
      <c r="L31" s="173" t="str">
        <f>计算过程!AL85</f>
        <v>×,偏快</v>
      </c>
      <c r="M31" s="173" t="str">
        <f>计算过程!AO85</f>
        <v>√</v>
      </c>
      <c r="N31" s="62" t="str">
        <f>计算过程!AR85</f>
        <v>×,偏慢</v>
      </c>
    </row>
    <row r="32" spans="1:18" x14ac:dyDescent="0.25">
      <c r="H32" s="204" t="s">
        <v>256</v>
      </c>
      <c r="I32" s="347" t="s">
        <v>404</v>
      </c>
      <c r="J32" s="20" t="str">
        <f>E78</f>
        <v>奥古斯特·冯·帕塞瓦尔</v>
      </c>
      <c r="K32" s="59" t="str">
        <f>计算过程!AJ59</f>
        <v>√</v>
      </c>
      <c r="L32" s="32" t="str">
        <f>计算过程!AL59</f>
        <v>×,偏快</v>
      </c>
    </row>
    <row r="33" spans="8:25" x14ac:dyDescent="0.25">
      <c r="H33" s="205"/>
      <c r="I33" s="348"/>
      <c r="J33" s="16" t="str">
        <f>E79</f>
        <v>彼得·史特拉塞</v>
      </c>
      <c r="K33" s="63" t="str">
        <f>计算过程!AJ60</f>
        <v>√</v>
      </c>
      <c r="L33" s="29" t="str">
        <f>计算过程!AL60</f>
        <v>×,偏快</v>
      </c>
    </row>
    <row r="34" spans="8:25" ht="14.4" thickBot="1" x14ac:dyDescent="0.3">
      <c r="H34" s="205"/>
      <c r="I34" s="349"/>
      <c r="J34" s="19" t="str">
        <f>E80</f>
        <v>翔鹤</v>
      </c>
      <c r="K34" s="64" t="str">
        <f>计算过程!AJ61</f>
        <v>√</v>
      </c>
      <c r="L34" s="55" t="str">
        <f>计算过程!AL61</f>
        <v>×,偏快</v>
      </c>
      <c r="V34" s="175"/>
      <c r="W34" s="175"/>
      <c r="X34" s="175"/>
      <c r="Y34" s="175"/>
    </row>
    <row r="35" spans="8:25" x14ac:dyDescent="0.25">
      <c r="H35" s="205"/>
      <c r="I35" s="207" t="s">
        <v>405</v>
      </c>
      <c r="J35" s="126" t="str">
        <f>J32</f>
        <v>奥古斯特·冯·帕塞瓦尔</v>
      </c>
      <c r="K35" s="127" t="str">
        <f>计算过程!AJ63</f>
        <v>√</v>
      </c>
      <c r="L35" s="128" t="str">
        <f>计算过程!AM63</f>
        <v>×,偏慢</v>
      </c>
      <c r="M35" s="129" t="str">
        <f>计算过程!AP63</f>
        <v>√</v>
      </c>
      <c r="V35" s="175"/>
      <c r="W35" s="175"/>
      <c r="X35" s="175"/>
      <c r="Y35" s="175"/>
    </row>
    <row r="36" spans="8:25" ht="14.4" thickBot="1" x14ac:dyDescent="0.3">
      <c r="H36" s="206"/>
      <c r="I36" s="208"/>
      <c r="J36" s="130" t="str">
        <f>J28</f>
        <v>彼得·史特拉塞</v>
      </c>
      <c r="K36" s="131" t="str">
        <f>计算过程!AJ64</f>
        <v>√</v>
      </c>
      <c r="L36" s="132" t="str">
        <f>计算过程!AM64</f>
        <v>×,偏慢</v>
      </c>
      <c r="M36" s="133" t="str">
        <f>计算过程!AP64</f>
        <v>×,偏慢</v>
      </c>
      <c r="V36" s="175"/>
      <c r="W36" s="175"/>
      <c r="X36" s="175"/>
      <c r="Y36" s="175"/>
    </row>
    <row r="37" spans="8:25" x14ac:dyDescent="0.25">
      <c r="H37" s="204" t="s">
        <v>403</v>
      </c>
      <c r="I37" s="336" t="str">
        <f>计算过程!AG67</f>
        <v>驱逐</v>
      </c>
      <c r="J37" s="166" t="str">
        <f>J32</f>
        <v>奥古斯特·冯·帕塞瓦尔</v>
      </c>
      <c r="K37" s="169" t="str">
        <f>计算过程!AI68</f>
        <v>√</v>
      </c>
      <c r="L37" s="170" t="str">
        <f>计算过程!AL68</f>
        <v>×,偏快</v>
      </c>
      <c r="M37" s="170" t="str">
        <f>计算过程!AO68</f>
        <v>×,偏快</v>
      </c>
      <c r="N37" s="32" t="str">
        <f>计算过程!AR68</f>
        <v>×,偏快</v>
      </c>
      <c r="U37" s="175"/>
      <c r="V37" s="176"/>
      <c r="W37" s="176"/>
      <c r="X37" s="175"/>
      <c r="Y37" s="175"/>
    </row>
    <row r="38" spans="8:25" ht="14.4" thickBot="1" x14ac:dyDescent="0.3">
      <c r="H38" s="205"/>
      <c r="I38" s="337"/>
      <c r="J38" s="168" t="str">
        <f>J33</f>
        <v>彼得·史特拉塞</v>
      </c>
      <c r="K38" s="172" t="str">
        <f>计算过程!AI69</f>
        <v>√</v>
      </c>
      <c r="L38" s="173" t="str">
        <f>计算过程!AL69</f>
        <v>×,偏快</v>
      </c>
      <c r="M38" s="173" t="str">
        <f>计算过程!AO69</f>
        <v>×,偏快</v>
      </c>
      <c r="N38" s="62" t="str">
        <f>计算过程!AR69</f>
        <v>×,偏快</v>
      </c>
      <c r="U38" s="175"/>
      <c r="V38" s="177"/>
      <c r="W38" s="177"/>
      <c r="X38" s="175"/>
      <c r="Y38" s="175"/>
    </row>
    <row r="39" spans="8:25" x14ac:dyDescent="0.25">
      <c r="H39" s="205"/>
      <c r="I39" s="338" t="str">
        <f>计算过程!AG70</f>
        <v>轻巡</v>
      </c>
      <c r="J39" s="126" t="str">
        <f>J32</f>
        <v>奥古斯特·冯·帕塞瓦尔</v>
      </c>
      <c r="K39" s="127" t="str">
        <f>计算过程!AI71</f>
        <v>√</v>
      </c>
      <c r="L39" s="128" t="str">
        <f>计算过程!AL71</f>
        <v>×,偏快</v>
      </c>
      <c r="M39" s="128" t="str">
        <f>计算过程!AO71</f>
        <v>×,偏快</v>
      </c>
      <c r="N39" s="129" t="str">
        <f>计算过程!AR71</f>
        <v>√</v>
      </c>
      <c r="U39" s="175"/>
      <c r="V39" s="177"/>
      <c r="W39" s="177"/>
      <c r="X39" s="175"/>
      <c r="Y39" s="175"/>
    </row>
    <row r="40" spans="8:25" ht="14.4" thickBot="1" x14ac:dyDescent="0.3">
      <c r="H40" s="205"/>
      <c r="I40" s="339"/>
      <c r="J40" s="130" t="str">
        <f>J33</f>
        <v>彼得·史特拉塞</v>
      </c>
      <c r="K40" s="131" t="str">
        <f>计算过程!AI72</f>
        <v>√</v>
      </c>
      <c r="L40" s="132" t="str">
        <f>计算过程!AL72</f>
        <v>×,偏快</v>
      </c>
      <c r="M40" s="132" t="str">
        <f>计算过程!AO72</f>
        <v>×,偏快</v>
      </c>
      <c r="N40" s="133" t="str">
        <f>计算过程!AR72</f>
        <v>√</v>
      </c>
      <c r="U40" s="175"/>
      <c r="V40" s="175"/>
      <c r="W40" s="175"/>
      <c r="X40" s="175"/>
      <c r="Y40" s="175"/>
    </row>
    <row r="41" spans="8:25" ht="13.8" customHeight="1" x14ac:dyDescent="0.25">
      <c r="H41" s="205"/>
      <c r="I41" s="336" t="str">
        <f>计算过程!AG73</f>
        <v>重巡</v>
      </c>
      <c r="J41" s="166" t="str">
        <f>J32</f>
        <v>奥古斯特·冯·帕塞瓦尔</v>
      </c>
      <c r="K41" s="169" t="str">
        <f>计算过程!AI74</f>
        <v>√</v>
      </c>
      <c r="L41" s="170" t="str">
        <f>计算过程!AL74</f>
        <v>√</v>
      </c>
      <c r="M41" s="170" t="str">
        <f>计算过程!AO74</f>
        <v>×,偏快</v>
      </c>
      <c r="N41" s="171" t="str">
        <f>计算过程!AR74</f>
        <v>×,偏快</v>
      </c>
      <c r="U41" s="175"/>
      <c r="V41" s="175"/>
      <c r="W41" s="175"/>
      <c r="X41" s="175"/>
      <c r="Y41" s="175"/>
    </row>
    <row r="42" spans="8:25" ht="14.4" thickBot="1" x14ac:dyDescent="0.3">
      <c r="H42" s="205"/>
      <c r="I42" s="337"/>
      <c r="J42" s="168" t="str">
        <f>J33</f>
        <v>彼得·史特拉塞</v>
      </c>
      <c r="K42" s="172" t="str">
        <f>计算过程!AI75</f>
        <v>√</v>
      </c>
      <c r="L42" s="173" t="str">
        <f>计算过程!AL75</f>
        <v>√</v>
      </c>
      <c r="M42" s="173" t="str">
        <f>计算过程!AO75</f>
        <v>×,偏快</v>
      </c>
      <c r="N42" s="174" t="str">
        <f>计算过程!AR75</f>
        <v>×,偏快</v>
      </c>
      <c r="U42" s="175"/>
      <c r="V42" s="175"/>
      <c r="W42" s="175"/>
      <c r="X42" s="175"/>
      <c r="Y42" s="175"/>
    </row>
    <row r="43" spans="8:25" x14ac:dyDescent="0.25">
      <c r="H43" s="205"/>
      <c r="I43" s="338" t="str">
        <f>计算过程!AG76</f>
        <v>航母</v>
      </c>
      <c r="J43" s="126" t="str">
        <f>J32</f>
        <v>奥古斯特·冯·帕塞瓦尔</v>
      </c>
      <c r="K43" s="127" t="str">
        <f>计算过程!AI77</f>
        <v>√</v>
      </c>
      <c r="L43" s="128" t="str">
        <f>计算过程!AL77</f>
        <v>×,偏快</v>
      </c>
      <c r="M43" s="128" t="str">
        <f>计算过程!AO77</f>
        <v>×,偏快</v>
      </c>
      <c r="N43" s="129" t="str">
        <f>计算过程!AR77</f>
        <v>×,偏快</v>
      </c>
      <c r="U43" s="175"/>
      <c r="V43" s="175"/>
      <c r="W43" s="175"/>
      <c r="X43" s="175"/>
      <c r="Y43" s="175"/>
    </row>
    <row r="44" spans="8:25" ht="14.4" thickBot="1" x14ac:dyDescent="0.3">
      <c r="H44" s="205"/>
      <c r="I44" s="339"/>
      <c r="J44" s="130" t="str">
        <f>J33</f>
        <v>彼得·史特拉塞</v>
      </c>
      <c r="K44" s="131" t="str">
        <f>计算过程!AI78</f>
        <v>√</v>
      </c>
      <c r="L44" s="132" t="str">
        <f>计算过程!AL78</f>
        <v>×,偏快</v>
      </c>
      <c r="M44" s="132" t="str">
        <f>计算过程!AO78</f>
        <v>×,偏快</v>
      </c>
      <c r="N44" s="133" t="str">
        <f>计算过程!AR78</f>
        <v>×,偏快</v>
      </c>
      <c r="U44" s="175"/>
      <c r="V44" s="175"/>
      <c r="W44" s="175"/>
      <c r="X44" s="175"/>
      <c r="Y44" s="175"/>
    </row>
    <row r="45" spans="8:25" x14ac:dyDescent="0.25">
      <c r="H45" s="205"/>
      <c r="I45" s="336" t="str">
        <f>计算过程!AG79</f>
        <v>战列</v>
      </c>
      <c r="J45" s="166" t="str">
        <f>J32</f>
        <v>奥古斯特·冯·帕塞瓦尔</v>
      </c>
      <c r="K45" s="169" t="str">
        <f>计算过程!AI80</f>
        <v>√</v>
      </c>
      <c r="L45" s="170" t="str">
        <f>计算过程!AL80</f>
        <v>×,偏快</v>
      </c>
      <c r="M45" s="170" t="str">
        <f>计算过程!AO80</f>
        <v>×,偏快</v>
      </c>
      <c r="N45" s="171" t="str">
        <f>计算过程!AR80</f>
        <v>×,偏快</v>
      </c>
    </row>
    <row r="46" spans="8:25" ht="14.4" thickBot="1" x14ac:dyDescent="0.3">
      <c r="H46" s="206"/>
      <c r="I46" s="337"/>
      <c r="J46" s="168" t="str">
        <f>J33</f>
        <v>彼得·史特拉塞</v>
      </c>
      <c r="K46" s="172" t="str">
        <f>计算过程!AI81</f>
        <v>√</v>
      </c>
      <c r="L46" s="173" t="str">
        <f>计算过程!AL81</f>
        <v>×,偏快</v>
      </c>
      <c r="M46" s="173" t="str">
        <f>计算过程!AO81</f>
        <v>×,偏快</v>
      </c>
      <c r="N46" s="174" t="str">
        <f>计算过程!AR81</f>
        <v>×,偏快</v>
      </c>
    </row>
    <row r="51" spans="15:15" x14ac:dyDescent="0.25">
      <c r="O51" s="167"/>
    </row>
    <row r="52" spans="15:15" x14ac:dyDescent="0.25">
      <c r="O52" s="167"/>
    </row>
    <row r="69" spans="3:11" ht="14.4" thickBot="1" x14ac:dyDescent="0.3"/>
    <row r="70" spans="3:11" x14ac:dyDescent="0.25">
      <c r="C70" s="217" t="s">
        <v>258</v>
      </c>
      <c r="D70" s="218"/>
      <c r="E70" s="218"/>
      <c r="F70" s="218"/>
      <c r="G70" s="218"/>
      <c r="H70" s="219"/>
    </row>
    <row r="71" spans="3:11" x14ac:dyDescent="0.25">
      <c r="C71" s="220"/>
      <c r="D71" s="221"/>
      <c r="E71" s="221"/>
      <c r="F71" s="221"/>
      <c r="G71" s="221"/>
      <c r="H71" s="222"/>
    </row>
    <row r="72" spans="3:11" ht="14.4" thickBot="1" x14ac:dyDescent="0.3">
      <c r="C72" s="223"/>
      <c r="D72" s="224"/>
      <c r="E72" s="224"/>
      <c r="F72" s="224"/>
      <c r="G72" s="224"/>
      <c r="H72" s="225"/>
    </row>
    <row r="73" spans="3:11" ht="14.4" thickBot="1" x14ac:dyDescent="0.3">
      <c r="C73" s="11"/>
      <c r="D73" s="15" t="s">
        <v>38</v>
      </c>
      <c r="E73" s="25" t="s">
        <v>37</v>
      </c>
      <c r="F73" s="27" t="s">
        <v>68</v>
      </c>
      <c r="G73" s="27" t="s">
        <v>69</v>
      </c>
      <c r="H73" s="27" t="s">
        <v>70</v>
      </c>
      <c r="I73" s="28" t="s">
        <v>71</v>
      </c>
    </row>
    <row r="74" spans="3:11" x14ac:dyDescent="0.25">
      <c r="C74" s="325" t="s">
        <v>39</v>
      </c>
      <c r="D74" s="213" t="str">
        <f>A6</f>
        <v>奥古斯特·冯·帕塞瓦尔</v>
      </c>
      <c r="E74" s="143" t="str">
        <f>A9</f>
        <v>彼得·史特拉塞</v>
      </c>
      <c r="F74" s="144" t="str">
        <f>计算过程!AH38</f>
        <v>无</v>
      </c>
      <c r="G74" s="144" t="str">
        <f>计算过程!AK38</f>
        <v>无</v>
      </c>
      <c r="H74" s="144" t="str">
        <f>计算过程!AN38</f>
        <v>无</v>
      </c>
      <c r="I74" s="145" t="str">
        <f>计算过程!AQ38</f>
        <v>无</v>
      </c>
    </row>
    <row r="75" spans="3:11" ht="14.4" thickBot="1" x14ac:dyDescent="0.3">
      <c r="C75" s="211"/>
      <c r="D75" s="214"/>
      <c r="E75" s="138" t="str">
        <f>A12</f>
        <v>翔鹤</v>
      </c>
      <c r="F75" s="140" t="str">
        <f>计算过程!AH39</f>
        <v>无</v>
      </c>
      <c r="G75" s="140" t="str">
        <f>计算过程!AK39</f>
        <v>无</v>
      </c>
      <c r="H75" s="140" t="str">
        <f>计算过程!AN39</f>
        <v>无</v>
      </c>
      <c r="I75" s="141" t="str">
        <f>计算过程!AQ39</f>
        <v>无</v>
      </c>
    </row>
    <row r="76" spans="3:11" x14ac:dyDescent="0.25">
      <c r="C76" s="204" t="s">
        <v>261</v>
      </c>
      <c r="D76" s="192" t="s">
        <v>120</v>
      </c>
      <c r="E76" s="20" t="str">
        <f>A6</f>
        <v>奥古斯特·冯·帕塞瓦尔</v>
      </c>
      <c r="F76" s="59" t="str">
        <f>计算过程!AI37</f>
        <v>√</v>
      </c>
      <c r="G76" s="31" t="str">
        <f>计算过程!AL37</f>
        <v>×,偏快</v>
      </c>
      <c r="H76" s="32" t="str">
        <f>计算过程!AO37</f>
        <v>×,偏快</v>
      </c>
      <c r="I76" s="107" t="s">
        <v>259</v>
      </c>
      <c r="J76" s="108">
        <v>4</v>
      </c>
      <c r="K76" s="109" t="s">
        <v>221</v>
      </c>
    </row>
    <row r="77" spans="3:11" ht="14.4" thickBot="1" x14ac:dyDescent="0.3">
      <c r="C77" s="205"/>
      <c r="D77" s="238"/>
      <c r="E77" s="16" t="str">
        <f>A9</f>
        <v>彼得·史特拉塞</v>
      </c>
      <c r="F77" s="60" t="str">
        <f>计算过程!AI38</f>
        <v>√</v>
      </c>
      <c r="G77" s="61" t="str">
        <f>计算过程!AL38</f>
        <v>×,偏快</v>
      </c>
      <c r="H77" s="62" t="str">
        <f>计算过程!AO38</f>
        <v>×,偏快</v>
      </c>
      <c r="I77" s="110" t="s">
        <v>260</v>
      </c>
      <c r="J77" s="111">
        <v>25</v>
      </c>
      <c r="K77" s="112" t="s">
        <v>222</v>
      </c>
    </row>
    <row r="78" spans="3:11" x14ac:dyDescent="0.25">
      <c r="C78" s="205"/>
      <c r="D78" s="235" t="s">
        <v>121</v>
      </c>
      <c r="E78" s="126" t="str">
        <f>A6</f>
        <v>奥古斯特·冯·帕塞瓦尔</v>
      </c>
      <c r="F78" s="127" t="str">
        <f>计算过程!AJ37</f>
        <v>×,偏快</v>
      </c>
      <c r="G78" s="128" t="str">
        <f>计算过程!AM37</f>
        <v>×,偏快</v>
      </c>
      <c r="H78" s="129" t="str">
        <f>计算过程!AP37</f>
        <v>×,偏快</v>
      </c>
    </row>
    <row r="79" spans="3:11" x14ac:dyDescent="0.25">
      <c r="C79" s="205"/>
      <c r="D79" s="236"/>
      <c r="E79" s="134" t="str">
        <f>A9</f>
        <v>彼得·史特拉塞</v>
      </c>
      <c r="F79" s="135" t="str">
        <f>计算过程!AJ38</f>
        <v>×,偏快</v>
      </c>
      <c r="G79" s="136" t="str">
        <f>计算过程!AM38</f>
        <v>×,偏快</v>
      </c>
      <c r="H79" s="137" t="str">
        <f>计算过程!AP38</f>
        <v>×,偏快</v>
      </c>
    </row>
    <row r="80" spans="3:11" ht="14.4" thickBot="1" x14ac:dyDescent="0.3">
      <c r="C80" s="206"/>
      <c r="D80" s="237"/>
      <c r="E80" s="138" t="str">
        <f>A12</f>
        <v>翔鹤</v>
      </c>
      <c r="F80" s="139" t="str">
        <f>计算过程!AJ39</f>
        <v>×,偏快</v>
      </c>
      <c r="G80" s="140" t="str">
        <f>计算过程!AM39</f>
        <v>×,偏快</v>
      </c>
      <c r="H80" s="141" t="str">
        <f>计算过程!AP39</f>
        <v>×,偏快</v>
      </c>
    </row>
    <row r="81" spans="3:9" x14ac:dyDescent="0.25">
      <c r="C81" s="204" t="s">
        <v>237</v>
      </c>
      <c r="D81" s="192" t="s">
        <v>406</v>
      </c>
      <c r="E81" s="20" t="str">
        <f>A20</f>
        <v>奥古斯特·冯·帕塞瓦尔</v>
      </c>
      <c r="F81" s="59" t="str">
        <f>计算过程!AI46</f>
        <v>×,偏快</v>
      </c>
      <c r="G81" s="31" t="str">
        <f>计算过程!AL46</f>
        <v>×,偏快</v>
      </c>
      <c r="H81" s="31" t="str">
        <f>计算过程!AO46</f>
        <v>×,偏快</v>
      </c>
      <c r="I81" s="32" t="str">
        <f>计算过程!AR46</f>
        <v>×,偏慢</v>
      </c>
    </row>
    <row r="82" spans="3:9" ht="14.4" thickBot="1" x14ac:dyDescent="0.3">
      <c r="C82" s="205"/>
      <c r="D82" s="193"/>
      <c r="E82" s="122" t="str">
        <f>A23</f>
        <v>彼得·史特拉塞</v>
      </c>
      <c r="F82" s="60" t="str">
        <f>计算过程!AI47</f>
        <v>×,偏快</v>
      </c>
      <c r="G82" s="61" t="str">
        <f>计算过程!AL47</f>
        <v>×,偏快</v>
      </c>
      <c r="H82" s="61" t="str">
        <f>计算过程!AO47</f>
        <v>×,偏快</v>
      </c>
      <c r="I82" s="62" t="str">
        <f>计算过程!AR47</f>
        <v>√</v>
      </c>
    </row>
    <row r="83" spans="3:9" x14ac:dyDescent="0.25">
      <c r="C83" s="205"/>
      <c r="D83" s="207" t="s">
        <v>405</v>
      </c>
      <c r="E83" s="126" t="str">
        <f>E81</f>
        <v>奥古斯特·冯·帕塞瓦尔</v>
      </c>
      <c r="F83" s="127" t="str">
        <f>F85</f>
        <v>×,偏快</v>
      </c>
      <c r="G83" s="128" t="str">
        <f t="shared" ref="G83:H83" si="0">G85</f>
        <v>×,偏快</v>
      </c>
      <c r="H83" s="129" t="str">
        <f t="shared" si="0"/>
        <v>×,偏快</v>
      </c>
    </row>
    <row r="84" spans="3:9" ht="14.4" thickBot="1" x14ac:dyDescent="0.3">
      <c r="C84" s="205"/>
      <c r="D84" s="208"/>
      <c r="E84" s="130" t="str">
        <f>E82</f>
        <v>彼得·史特拉塞</v>
      </c>
      <c r="F84" s="131" t="str">
        <f>F86</f>
        <v>×,偏快</v>
      </c>
      <c r="G84" s="132" t="str">
        <f>G86</f>
        <v>×,偏快</v>
      </c>
      <c r="H84" s="133" t="str">
        <f>H86</f>
        <v>×,偏快</v>
      </c>
    </row>
    <row r="85" spans="3:9" x14ac:dyDescent="0.25">
      <c r="C85" s="205"/>
      <c r="D85" s="194" t="s">
        <v>240</v>
      </c>
      <c r="E85" s="20" t="str">
        <f>A20</f>
        <v>奥古斯特·冯·帕塞瓦尔</v>
      </c>
      <c r="F85" s="115" t="str">
        <f>计算过程!AJ46</f>
        <v>×,偏快</v>
      </c>
      <c r="G85" s="18" t="str">
        <f>计算过程!AM46</f>
        <v>×,偏快</v>
      </c>
      <c r="H85" s="30" t="str">
        <f>计算过程!AP46</f>
        <v>×,偏快</v>
      </c>
    </row>
    <row r="86" spans="3:9" x14ac:dyDescent="0.25">
      <c r="C86" s="205"/>
      <c r="D86" s="195"/>
      <c r="E86" s="16" t="str">
        <f>A23</f>
        <v>彼得·史特拉塞</v>
      </c>
      <c r="F86" s="63" t="str">
        <f>计算过程!AJ47</f>
        <v>×,偏快</v>
      </c>
      <c r="G86" s="26" t="str">
        <f>计算过程!AM47</f>
        <v>×,偏快</v>
      </c>
      <c r="H86" s="29" t="str">
        <f>计算过程!AP47</f>
        <v>×,偏快</v>
      </c>
    </row>
    <row r="87" spans="3:9" ht="14.4" thickBot="1" x14ac:dyDescent="0.3">
      <c r="C87" s="205"/>
      <c r="D87" s="196"/>
      <c r="E87" s="19" t="str">
        <f>A26</f>
        <v>翔鹤</v>
      </c>
      <c r="F87" s="64" t="str">
        <f>计算过程!AJ48</f>
        <v>√</v>
      </c>
      <c r="G87" s="54" t="str">
        <f>计算过程!AM48</f>
        <v>√</v>
      </c>
      <c r="H87" s="55" t="str">
        <f>计算过程!AP48</f>
        <v>√</v>
      </c>
    </row>
    <row r="88" spans="3:9" x14ac:dyDescent="0.25">
      <c r="C88" s="205"/>
      <c r="D88" s="197" t="s">
        <v>241</v>
      </c>
      <c r="E88" s="126" t="str">
        <f>E85</f>
        <v>奥古斯特·冯·帕塞瓦尔</v>
      </c>
      <c r="F88" s="127" t="str">
        <f>计算过程!AK46</f>
        <v>×,偏快</v>
      </c>
      <c r="G88" s="128" t="str">
        <f>计算过程!AN46</f>
        <v>×,偏快</v>
      </c>
      <c r="H88" s="129" t="str">
        <f>计算过程!AQ46</f>
        <v>×,偏快</v>
      </c>
    </row>
    <row r="89" spans="3:9" x14ac:dyDescent="0.25">
      <c r="C89" s="205"/>
      <c r="D89" s="198"/>
      <c r="E89" s="134" t="str">
        <f>E86</f>
        <v>彼得·史特拉塞</v>
      </c>
      <c r="F89" s="135" t="str">
        <f>计算过程!AK47</f>
        <v>×,偏快</v>
      </c>
      <c r="G89" s="136" t="str">
        <f>计算过程!AN47</f>
        <v>×,偏快</v>
      </c>
      <c r="H89" s="137" t="str">
        <f>计算过程!AP47</f>
        <v>×,偏快</v>
      </c>
    </row>
    <row r="90" spans="3:9" ht="14.4" thickBot="1" x14ac:dyDescent="0.3">
      <c r="C90" s="206"/>
      <c r="D90" s="199"/>
      <c r="E90" s="138" t="str">
        <f>E87</f>
        <v>翔鹤</v>
      </c>
      <c r="F90" s="139" t="str">
        <f>计算过程!AK48</f>
        <v>√</v>
      </c>
      <c r="G90" s="140" t="str">
        <f>计算过程!AN48</f>
        <v>×,偏快</v>
      </c>
      <c r="H90" s="141" t="str">
        <f>计算过程!AQ48</f>
        <v>√</v>
      </c>
    </row>
  </sheetData>
  <mergeCells count="117">
    <mergeCell ref="A29:A31"/>
    <mergeCell ref="B30:B31"/>
    <mergeCell ref="C30:C31"/>
    <mergeCell ref="R13:R14"/>
    <mergeCell ref="M7:M14"/>
    <mergeCell ref="I7:I14"/>
    <mergeCell ref="O7:O8"/>
    <mergeCell ref="R7:R8"/>
    <mergeCell ref="Q7:Q8"/>
    <mergeCell ref="R10:R11"/>
    <mergeCell ref="Q10:Q11"/>
    <mergeCell ref="P10:P11"/>
    <mergeCell ref="P7:P8"/>
    <mergeCell ref="O10:O11"/>
    <mergeCell ref="K13:K14"/>
    <mergeCell ref="Q13:Q14"/>
    <mergeCell ref="P13:P14"/>
    <mergeCell ref="N13:N14"/>
    <mergeCell ref="K16:K17"/>
    <mergeCell ref="O16:O17"/>
    <mergeCell ref="P16:P17"/>
    <mergeCell ref="Q16:Q17"/>
    <mergeCell ref="R16:R17"/>
    <mergeCell ref="J16:J17"/>
    <mergeCell ref="O13:O14"/>
    <mergeCell ref="A1:B2"/>
    <mergeCell ref="A3:C3"/>
    <mergeCell ref="C1:C2"/>
    <mergeCell ref="A6:A8"/>
    <mergeCell ref="B7:B8"/>
    <mergeCell ref="C7:C8"/>
    <mergeCell ref="E1:O1"/>
    <mergeCell ref="A4:D5"/>
    <mergeCell ref="E5:O5"/>
    <mergeCell ref="E2:O2"/>
    <mergeCell ref="E3:O3"/>
    <mergeCell ref="E4:O4"/>
    <mergeCell ref="N10:N11"/>
    <mergeCell ref="N7:N8"/>
    <mergeCell ref="J7:J14"/>
    <mergeCell ref="A9:A11"/>
    <mergeCell ref="B10:B11"/>
    <mergeCell ref="C10:C11"/>
    <mergeCell ref="K10:K11"/>
    <mergeCell ref="G10:G11"/>
    <mergeCell ref="G7:G8"/>
    <mergeCell ref="K7:K8"/>
    <mergeCell ref="H7:H8"/>
    <mergeCell ref="A26:A28"/>
    <mergeCell ref="D26:E26"/>
    <mergeCell ref="B27:B28"/>
    <mergeCell ref="C13:C14"/>
    <mergeCell ref="C24:C25"/>
    <mergeCell ref="A20:A22"/>
    <mergeCell ref="A23:A25"/>
    <mergeCell ref="D18:E18"/>
    <mergeCell ref="D20:E20"/>
    <mergeCell ref="D21:E22"/>
    <mergeCell ref="D24:E25"/>
    <mergeCell ref="D23:E23"/>
    <mergeCell ref="B21:B22"/>
    <mergeCell ref="A18:C19"/>
    <mergeCell ref="A12:A14"/>
    <mergeCell ref="B13:B14"/>
    <mergeCell ref="D27:E28"/>
    <mergeCell ref="A15:A17"/>
    <mergeCell ref="B16:B17"/>
    <mergeCell ref="B24:B25"/>
    <mergeCell ref="C21:C22"/>
    <mergeCell ref="C27:C28"/>
    <mergeCell ref="C81:C90"/>
    <mergeCell ref="D83:D84"/>
    <mergeCell ref="F18:G19"/>
    <mergeCell ref="D74:D75"/>
    <mergeCell ref="F20:G20"/>
    <mergeCell ref="F26:G26"/>
    <mergeCell ref="C70:H72"/>
    <mergeCell ref="C16:C17"/>
    <mergeCell ref="D15:F15"/>
    <mergeCell ref="D16:F17"/>
    <mergeCell ref="D78:D80"/>
    <mergeCell ref="C76:C80"/>
    <mergeCell ref="D76:D77"/>
    <mergeCell ref="F21:G22"/>
    <mergeCell ref="G16:G17"/>
    <mergeCell ref="H16:H17"/>
    <mergeCell ref="C74:C75"/>
    <mergeCell ref="F23:G23"/>
    <mergeCell ref="H18:P19"/>
    <mergeCell ref="I24:I26"/>
    <mergeCell ref="H24:H29"/>
    <mergeCell ref="I37:I38"/>
    <mergeCell ref="I39:I40"/>
    <mergeCell ref="I41:I42"/>
    <mergeCell ref="L7:L8"/>
    <mergeCell ref="L10:L11"/>
    <mergeCell ref="L13:L14"/>
    <mergeCell ref="H10:H11"/>
    <mergeCell ref="H13:H14"/>
    <mergeCell ref="D81:D82"/>
    <mergeCell ref="D85:D87"/>
    <mergeCell ref="D88:D90"/>
    <mergeCell ref="G13:G14"/>
    <mergeCell ref="F27:G28"/>
    <mergeCell ref="I16:I17"/>
    <mergeCell ref="I27:I29"/>
    <mergeCell ref="I43:I44"/>
    <mergeCell ref="I45:I46"/>
    <mergeCell ref="H37:H46"/>
    <mergeCell ref="F29:G29"/>
    <mergeCell ref="F30:G31"/>
    <mergeCell ref="H32:H36"/>
    <mergeCell ref="I35:I36"/>
    <mergeCell ref="H20:I22"/>
    <mergeCell ref="H30:I31"/>
    <mergeCell ref="I32:I34"/>
    <mergeCell ref="F24:G25"/>
  </mergeCells>
  <phoneticPr fontId="1" type="noConversion"/>
  <dataValidations count="2">
    <dataValidation type="list" allowBlank="1" showInputMessage="1" showErrorMessage="1" sqref="V1" xr:uid="{829C6A63-511E-403A-8771-EC77B30DB13B}">
      <formula1>$T$1:$T$11</formula1>
    </dataValidation>
    <dataValidation allowBlank="1" showInputMessage="1" showErrorMessage="1" promptTitle="注意" prompt="此处公共cd为GCD0.5+抬手0.1=0.6" sqref="Q3" xr:uid="{A808B675-BF88-4DAE-99BD-BE24A92F7FA6}"/>
  </dataValidations>
  <hyperlinks>
    <hyperlink ref="E5" r:id="rId1" xr:uid="{13DD0EDF-6EBB-41AC-AF18-B062FC5E0CAB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allowBlank="1" showInputMessage="1" showErrorMessage="1" xr:uid="{8F221F5E-9CDE-4954-8048-78BE93F1EA79}">
          <x14:formula1>
            <xm:f>计算过程!$AF$103:$AF$105</xm:f>
          </x14:formula1>
          <xm:sqref>E19</xm:sqref>
        </x14:dataValidation>
        <x14:dataValidation type="list" allowBlank="1" showInputMessage="1" showErrorMessage="1" xr:uid="{ED498208-025F-4BD8-A4C9-E674A9920333}">
          <x14:formula1>
            <xm:f>计算过程!$AF$106:$AF$109</xm:f>
          </x14:formula1>
          <xm:sqref>D2</xm:sqref>
        </x14:dataValidation>
        <x14:dataValidation type="list" allowBlank="1" showInputMessage="1" showErrorMessage="1" xr:uid="{C5EF9A94-4CF3-4C7E-A086-884A4DC1C0C0}">
          <x14:formula1>
            <xm:f>计算过程!$AJ$106:$AJ$107</xm:f>
          </x14:formula1>
          <xm:sqref>N13:N14 N10:N11 N7:N8</xm:sqref>
        </x14:dataValidation>
        <x14:dataValidation type="list" allowBlank="1" showInputMessage="1" showErrorMessage="1" xr:uid="{F5A99AF5-548F-4EB8-A75B-A96AF120696A}">
          <x14:formula1>
            <xm:f>计算过程!$AN$106:$AN$108</xm:f>
          </x14:formula1>
          <xm:sqref>I7</xm:sqref>
        </x14:dataValidation>
        <x14:dataValidation type="list" allowBlank="1" showInputMessage="1" showErrorMessage="1" xr:uid="{B367BA12-2B1B-4B7E-853C-EE51515B75DB}">
          <x14:formula1>
            <xm:f>IF($F$12="战斗机",计算过程!$AM$106,IF($F$12="轰炸机",计算过程!$AM$107,IF($F$12="鱼雷机",计算过程!$AM$108,IF($F$12="无飞机",计算过程!$AM$109,IF($F$12="战/轰",计算过程!$AM$106:$AM$107,IF($F$12="轰/鱼",计算过程!$AM$107:$AM$108,IF($F$12="战/鱼",计算过程!$AM$111:$AM$112,IF($F$12="战/轰/鱼",计算过程!$AM$106:$AM$108))))))))</xm:f>
          </x14:formula1>
          <xm:sqref>F13</xm:sqref>
        </x14:dataValidation>
        <x14:dataValidation type="list" allowBlank="1" showInputMessage="1" showErrorMessage="1" xr:uid="{0CE4DB91-3357-4888-B031-FD78F1FF18F0}">
          <x14:formula1>
            <xm:f>IF($D$9="战斗机",计算过程!$AM$106,IF($D$9="轰炸机",计算过程!$AM$107,IF($D$9="鱼雷机",计算过程!$AM$108,IF($D$9="无飞机",计算过程!$AM$109,IF($D$9="战/轰",计算过程!$AM$106:$AM$107,IF($D$9="轰/鱼",计算过程!$AM$107:$AM$108,IF($D$9="战/鱼",计算过程!$AM$111:$AM$112,IF($D$9="战/轰/鱼",计算过程!$AM$106:$AM$108))))))))</xm:f>
          </x14:formula1>
          <xm:sqref>D10</xm:sqref>
        </x14:dataValidation>
        <x14:dataValidation type="list" allowBlank="1" showInputMessage="1" showErrorMessage="1" xr:uid="{AFAC0C16-DB84-4B46-9919-BDF08B8ED1B8}">
          <x14:formula1>
            <xm:f>IF($D$12="战斗机",计算过程!$AM$106,IF($D$12="轰炸机",计算过程!$AM$107,IF($D$12="鱼雷机",计算过程!$AM$108,IF($D$12="无飞机",计算过程!$AM$109,IF($D$12="战/轰",计算过程!$AM$106:$AM$107,IF($D$12="轰/鱼",计算过程!$AM$107:$AM$108,IF($D$12="战/鱼",计算过程!$AM$111:$AM$112,IF($D$12="战/轰/鱼",计算过程!$AM$106:$AM$108))))))))</xm:f>
          </x14:formula1>
          <xm:sqref>D13</xm:sqref>
        </x14:dataValidation>
        <x14:dataValidation type="list" allowBlank="1" showInputMessage="1" showErrorMessage="1" xr:uid="{0030E714-491A-40D5-8150-DA299E9570EE}">
          <x14:formula1>
            <xm:f>IF($F$6="战斗机",计算过程!$AM$106,IF($F$6="轰炸机",计算过程!$AM$107,IF($F$6="鱼雷机",计算过程!$AM$108,IF($F$6="无飞机",计算过程!$AM$109,IF($F$6="战/轰",计算过程!$AM$106:$AM$107,IF($F$6="轰/鱼",计算过程!$AM$107:$AM$108,IF($F$6="战/鱼",计算过程!$AM$111:$AM$112,IF($F$6="战/轰/鱼",计算过程!$AM$106:$AM$108))))))))</xm:f>
          </x14:formula1>
          <xm:sqref>F7</xm:sqref>
        </x14:dataValidation>
        <x14:dataValidation type="list" allowBlank="1" showInputMessage="1" showErrorMessage="1" xr:uid="{9954BEA8-D70D-4D29-8316-75E882D9F890}">
          <x14:formula1>
            <xm:f>IF($D$6="战斗机",计算过程!$AM$106,IF($D$6="轰炸机",计算过程!$AM$107,IF($D$6="鱼雷机",计算过程!$AM$108,IF($D$6="无飞机",计算过程!$AM$109,IF($D$6="战/轰",计算过程!$AM$106:$AM$107,IF($D$6="轰/鱼",计算过程!$AM$107:$AM$108,IF($D$6="战/鱼",计算过程!$AM$111:$AM$112,IF($D$6="战/轰/鱼",计算过程!$AM$106:$AM$108))))))))</xm:f>
          </x14:formula1>
          <xm:sqref>D7</xm:sqref>
        </x14:dataValidation>
        <x14:dataValidation type="list" allowBlank="1" showInputMessage="1" showErrorMessage="1" xr:uid="{7965EE3A-39F1-4035-B306-370457B9C854}">
          <x14:formula1>
            <xm:f>IF($E$6="战斗机",计算过程!$AM$106,IF($E$6="轰炸机",计算过程!$AM$107,IF($E$6="鱼雷机",计算过程!$AM$108,IF($E$6="无飞机",计算过程!$AM$109,IF($E$6="战/轰",计算过程!$AM$106:$AM$107,IF($E$6="轰/鱼",计算过程!$AM$107:$AM$108,IF($E$6="战/鱼",计算过程!$AM$111:$AM$112,IF($E$6="战/轰/鱼",计算过程!$AM$106:$AM$108))))))))</xm:f>
          </x14:formula1>
          <xm:sqref>E7</xm:sqref>
        </x14:dataValidation>
        <x14:dataValidation type="list" allowBlank="1" showInputMessage="1" showErrorMessage="1" xr:uid="{58548ADE-DC7C-43F2-87CA-7A24E447CA4D}">
          <x14:formula1>
            <xm:f>IF($E$9="战斗机",计算过程!$AM$106,IF($E$9="轰炸机",计算过程!$AM$107,IF($E$9="鱼雷机",计算过程!$AM$108,IF($E$9="无飞机",计算过程!$AM$109,IF($E$9="战/轰",计算过程!$AM$106:$AM$107,IF($E$9="轰/鱼",计算过程!$AM$107:$AM$108,IF($E$9="战/鱼",计算过程!$AM$111:$AM$112,IF($E$9="战/轰/鱼",计算过程!$AM$106:$AM$108))))))))</xm:f>
          </x14:formula1>
          <xm:sqref>E10</xm:sqref>
        </x14:dataValidation>
        <x14:dataValidation type="list" allowBlank="1" showInputMessage="1" showErrorMessage="1" xr:uid="{61D1E01F-8FBA-49C7-B69A-243FC0A5261E}">
          <x14:formula1>
            <xm:f>IF($F$9="战斗机",计算过程!$AM$106,IF($F$9="轰炸机",计算过程!$AM$107,IF($F$9="鱼雷机",计算过程!$AM$108,IF($F$9="无飞机",计算过程!$AM$109,IF($F$9="战/轰",计算过程!$AM$106:$AM$107,IF($F$9="轰/鱼",计算过程!$AM$107:$AM$108,IF($F$9="战/鱼",计算过程!$AM$111:$AM$112,IF($F$9="战/轰/鱼",计算过程!$AM$106:$AM$108))))))))</xm:f>
          </x14:formula1>
          <xm:sqref>F10</xm:sqref>
        </x14:dataValidation>
        <x14:dataValidation type="list" allowBlank="1" showInputMessage="1" showErrorMessage="1" xr:uid="{F8D2C9D0-71FC-4FDD-8029-37C3270E6F35}">
          <x14:formula1>
            <xm:f>IF($E$12="战斗机",计算过程!$AM$106,IF($E$12="轰炸机",计算过程!$AM$107,IF($E$12="鱼雷机",计算过程!$AM$108,IF($E$12="无飞机",计算过程!$AM$109,IF($E$12="战/轰",计算过程!$AM$106:$AM$107,IF($E$12="轰/鱼",计算过程!$AM$107:$AM$108,IF($E$12="战/鱼",计算过程!$AM$111:$AM$112,IF($E$12="战/轰/鱼",计算过程!$AM$106:$AM$108))))))))</xm:f>
          </x14:formula1>
          <xm:sqref>E13</xm:sqref>
        </x14:dataValidation>
        <x14:dataValidation type="list" allowBlank="1" showInputMessage="1" showErrorMessage="1" xr:uid="{61B66CA3-4643-467E-9B69-A3BFDB872373}">
          <x14:formula1>
            <xm:f>IF($H$7="100/150号航空燃油T0",计算过程!$AG$106:$AG$107,IF($H$7="归航信标T0",计算过程!$AG$107:$AG$108,计算过程!$AG$106:$AG$108))</xm:f>
          </x14:formula1>
          <xm:sqref>G7:G8</xm:sqref>
        </x14:dataValidation>
        <x14:dataValidation type="list" allowBlank="1" showInputMessage="1" showErrorMessage="1" xr:uid="{7E38928C-BAF9-41F2-9348-21DD87CCF16D}">
          <x14:formula1>
            <xm:f>IF($H$10="100/150号航空燃油T0",计算过程!$AG$106:$AG$107,IF($H$10="归航信标T0",计算过程!$AG$107:$AG$108,计算过程!$AG$106:$AG$108))</xm:f>
          </x14:formula1>
          <xm:sqref>G10:G11</xm:sqref>
        </x14:dataValidation>
        <x14:dataValidation type="list" allowBlank="1" showInputMessage="1" showErrorMessage="1" xr:uid="{9D188F08-1A21-45AE-AE3D-219BD3096701}">
          <x14:formula1>
            <xm:f>IF($H$13="100/150号航空燃油T0",计算过程!$AG$106:$AG$107,IF($H$13="归航信标T0",计算过程!$AG$107:$AG$108,计算过程!$AG$106:$AG$108))</xm:f>
          </x14:formula1>
          <xm:sqref>G13:G14</xm:sqref>
        </x14:dataValidation>
        <x14:dataValidation type="list" allowBlank="1" showInputMessage="1" showErrorMessage="1" xr:uid="{98FDFADD-BF1C-419C-85D9-2B9E1FAB8EAF}">
          <x14:formula1>
            <xm:f>IF($G$7="100/150号航空燃油T0",计算过程!$AG$106:$AG$107,IF($G$7="归航信标T0",计算过程!$AG$107:$AG$108,计算过程!$AG$106:$AG$108))</xm:f>
          </x14:formula1>
          <xm:sqref>H7:H8</xm:sqref>
        </x14:dataValidation>
        <x14:dataValidation type="list" allowBlank="1" showInputMessage="1" showErrorMessage="1" xr:uid="{706FC692-A1EA-4F5E-8998-4132D39E9F5B}">
          <x14:formula1>
            <xm:f>IF($G$10="100/150号航空燃油T0",计算过程!$AG$106:$AG$107,IF($G$10="归航信标T0",计算过程!$AG$107:$AG$108,计算过程!$AG$106:$AG$108))</xm:f>
          </x14:formula1>
          <xm:sqref>H10:H11</xm:sqref>
        </x14:dataValidation>
        <x14:dataValidation type="list" allowBlank="1" showInputMessage="1" showErrorMessage="1" xr:uid="{2A37ADC4-A7C1-4D14-B5E2-70DD6F1C664E}">
          <x14:formula1>
            <xm:f>IF($G$13="100/150号航空燃油T0",计算过程!$AG$106:$AG$107,IF($G$13="归航信标T0",计算过程!$AG$107:$AG$108,计算过程!$AG$106:$AG$108))</xm:f>
          </x14:formula1>
          <xm:sqref>H13:H14</xm:sqref>
        </x14:dataValidation>
        <x14:dataValidation type="list" allowBlank="1" showInputMessage="1" showErrorMessage="1" xr:uid="{A643165F-68E6-48FB-9ED6-2EB357AEBBE2}">
          <x14:formula1>
            <xm:f>计算过程!$AK$106:$AK$111</xm:f>
          </x14:formula1>
          <xm:sqref>B7:B8 B10:B11 B13:B14 B16:B17</xm:sqref>
        </x14:dataValidation>
        <x14:dataValidation type="list" allowBlank="1" showInputMessage="1" showErrorMessage="1" xr:uid="{76A3E215-876D-4AFE-B56E-6ECCAB40530E}">
          <x14:formula1>
            <xm:f>计算过程!$BI$1:$BI$12</xm:f>
          </x14:formula1>
          <xm:sqref>D16:F17</xm:sqref>
        </x14:dataValidation>
        <x14:dataValidation type="list" allowBlank="1" showInputMessage="1" showErrorMessage="1" xr:uid="{AB87E0FF-4694-4E7C-A12F-0C0D8BBA3F35}">
          <x14:formula1>
            <xm:f>IF($G$16="金火控",计算过程!$AW$106:$AW$107,计算过程!$AW$106:$AW$108)</xm:f>
          </x14:formula1>
          <xm:sqref>H16:H17</xm:sqref>
        </x14:dataValidation>
        <x14:dataValidation type="list" allowBlank="1" showInputMessage="1" showErrorMessage="1" xr:uid="{90ACC456-CFC4-4657-B3D8-BC4F652B2B4D}">
          <x14:formula1>
            <xm:f>IF($H$16="金火控",计算过程!$AW$106:$AW$107,计算过程!$AW$106:$AW$108)</xm:f>
          </x14:formula1>
          <xm:sqref>G16:G17</xm:sqref>
        </x14:dataValidation>
        <x14:dataValidation type="list" allowBlank="1" showInputMessage="1" showErrorMessage="1" xr:uid="{ABBC841F-82F0-4289-8CB7-F293E2D0BBB6}">
          <x14:formula1>
            <xm:f>计算过程!$AN$111:$AN$114</xm:f>
          </x14:formula1>
          <xm:sqref>I16:I17</xm:sqref>
        </x14:dataValidation>
        <x14:dataValidation type="list" allowBlank="1" showInputMessage="1" showErrorMessage="1" xr:uid="{238393F1-38F3-47D7-A5E2-9F71FB0E4FF5}">
          <x14:formula1>
            <xm:f>OFFSET(计算过程!$N$1,0,0,COUNTA(计算过程!$N:$N))</xm:f>
          </x14:formula1>
          <xm:sqref>A6:A14</xm:sqref>
        </x14:dataValidation>
        <x14:dataValidation type="list" allowBlank="1" showInputMessage="1" showErrorMessage="1" xr:uid="{E4ECD75D-858A-4EEE-93B9-E04E2948DEEA}">
          <x14:formula1>
            <xm:f>OFFSET(计算过程!$BN$1,0,0,COUNTA(计算过程!$BN:$BN))</xm:f>
          </x14:formula1>
          <xm:sqref>A15:A17</xm:sqref>
        </x14:dataValidation>
        <x14:dataValidation type="list" allowBlank="1" showInputMessage="1" showErrorMessage="1" xr:uid="{C55DED44-1268-490C-BAB5-42866B735F24}">
          <x14:formula1>
            <xm:f>IF($F$13="战斗机",OFFSET(计算过程!$A1,0,0,COUNTA(计算过程!$A:$A)),IF($F$13="轰炸机",OFFSET(计算过程!$E1,0,0,COUNTA(计算过程!$E:$E)),IF($F$13="鱼雷机",OFFSET(计算过程!$I1,0,0,COUNTA(计算过程!$I:$I)),IF($F$13="无飞机",计算过程!$AC$1))))</xm:f>
          </x14:formula1>
          <xm:sqref>F14</xm:sqref>
        </x14:dataValidation>
        <x14:dataValidation type="list" allowBlank="1" showInputMessage="1" showErrorMessage="1" xr:uid="{7C8B50E9-16BB-4378-BEB2-14AE516DEFBA}">
          <x14:formula1>
            <xm:f>IF($D$13="战斗机",OFFSET(计算过程!$A1,0,0,COUNTA(计算过程!$A:$A)),IF($D$13="轰炸机",OFFSET(计算过程!$E1,0,0,COUNTA(计算过程!$E:$E)),IF($D$13="鱼雷机",OFFSET(计算过程!$I1,0,0,COUNTA(计算过程!$I:$I)),IF($D$13="无飞机",计算过程!$AC$1))))</xm:f>
          </x14:formula1>
          <xm:sqref>D14</xm:sqref>
        </x14:dataValidation>
        <x14:dataValidation type="list" allowBlank="1" showInputMessage="1" showErrorMessage="1" xr:uid="{E415DB69-E3F6-4355-A909-D425EDF23306}">
          <x14:formula1>
            <xm:f>IF($D$10="战斗机",OFFSET(计算过程!$A1,0,0,COUNTA(计算过程!$A:$A)),IF($D$10="轰炸机",OFFSET(计算过程!$E1,0,0,COUNTA(计算过程!$E:$E)),IF($D$10="鱼雷机",OFFSET(计算过程!$I1,0,0,COUNTA(计算过程!$I:$I)),IF($D$10="无飞机",计算过程!$AC$1))))</xm:f>
          </x14:formula1>
          <xm:sqref>D11</xm:sqref>
        </x14:dataValidation>
        <x14:dataValidation type="list" allowBlank="1" showInputMessage="1" showErrorMessage="1" xr:uid="{244533B6-86CB-4D03-8BB3-E991C9DA726D}">
          <x14:formula1>
            <xm:f>IF($E$7="战斗机",OFFSET(计算过程!$A1,0,0,COUNTA(计算过程!$A:$A)),IF($E$7="轰炸机",OFFSET(计算过程!$E1,0,0,COUNTA(计算过程!$E:$E)),IF($E$7="鱼雷机",OFFSET(计算过程!$I1,0,0,COUNTA(计算过程!$I:$I)),IF($E$7="无飞机",计算过程!$AC$1))))</xm:f>
          </x14:formula1>
          <xm:sqref>E8</xm:sqref>
        </x14:dataValidation>
        <x14:dataValidation type="list" allowBlank="1" showInputMessage="1" showErrorMessage="1" xr:uid="{81F5EF93-AAC0-40D3-A433-3DE1845A5479}">
          <x14:formula1>
            <xm:f>IF($F$7="战斗机",OFFSET(计算过程!$A1,0,0,COUNTA(计算过程!$A:$A)),IF($F$7="轰炸机",OFFSET(计算过程!$E1,0,0,COUNTA(计算过程!$E:$E)),IF($F$7="鱼雷机",OFFSET(计算过程!$I1,0,0,COUNTA(计算过程!$I:$I)),IF($F$7="无飞机",计算过程!$AC$1))))</xm:f>
          </x14:formula1>
          <xm:sqref>F8</xm:sqref>
        </x14:dataValidation>
        <x14:dataValidation type="list" allowBlank="1" showInputMessage="1" showErrorMessage="1" xr:uid="{D7209434-05E0-40A2-832A-DB31964063AA}">
          <x14:formula1>
            <xm:f>IF($E$10="战斗机",OFFSET(计算过程!$A1,0,0,COUNTA(计算过程!$A:$A)),IF($E$10="轰炸机",OFFSET(计算过程!$E1,0,0,COUNTA(计算过程!$E:$E)),IF($E$10="鱼雷机",OFFSET(计算过程!$I1,0,0,COUNTA(计算过程!$I:$I)),IF($E$10="无飞机",计算过程!$AC$1))))</xm:f>
          </x14:formula1>
          <xm:sqref>E11</xm:sqref>
        </x14:dataValidation>
        <x14:dataValidation type="list" allowBlank="1" showInputMessage="1" showErrorMessage="1" xr:uid="{65044FE2-D00D-426C-BF7A-6D54DAC52DE6}">
          <x14:formula1>
            <xm:f>IF($F$10="战斗机",OFFSET(计算过程!$A1,0,0,COUNTA(计算过程!$A:$A)),IF($F$10="轰炸机",OFFSET(计算过程!$E1,0,0,COUNTA(计算过程!$E:$E)),IF($F$10="鱼雷机",OFFSET(计算过程!$I1,0,0,COUNTA(计算过程!$I:$I)),IF($F$10="无飞机",计算过程!$AC$1))))</xm:f>
          </x14:formula1>
          <xm:sqref>F11</xm:sqref>
        </x14:dataValidation>
        <x14:dataValidation type="list" allowBlank="1" showInputMessage="1" showErrorMessage="1" xr:uid="{B3FBBDE8-13D8-4AB0-9BE7-8090FC9A32C6}">
          <x14:formula1>
            <xm:f>IF($E$13="战斗机",OFFSET(计算过程!$A1,0,0,COUNTA(计算过程!$A:$A)),IF($E$13="轰炸机",OFFSET(计算过程!$E1,0,0,COUNTA(计算过程!$E:$E)),IF($E$13="鱼雷机",OFFSET(计算过程!$I1,0,0,COUNTA(计算过程!$I:$I)),IF($E$13="无飞机",计算过程!$AC$1))))</xm:f>
          </x14:formula1>
          <xm:sqref>E14</xm:sqref>
        </x14:dataValidation>
        <x14:dataValidation type="list" allowBlank="1" showInputMessage="1" showErrorMessage="1" xr:uid="{793D11D2-B655-4609-B8F5-B48E2C73DBDC}">
          <x14:formula1>
            <xm:f>IF($D$7="战斗机",OFFSET(计算过程!$A1,0,0,COUNTA(计算过程!$A:$A)),IF($D$7="轰炸机",OFFSET(计算过程!$E1,0,0,COUNTA(计算过程!$E:$E)),IF($D$7="鱼雷机",OFFSET(计算过程!$I1,0,0,COUNTA(计算过程!$I:$I)),IF($D$7="无飞机",计算过程!$AC$1))))</xm:f>
          </x14:formula1>
          <xm:sqref>D8</xm:sqref>
        </x14:dataValidation>
        <x14:dataValidation type="list" allowBlank="1" showInputMessage="1" showErrorMessage="1" promptTitle="注意！" prompt="只有当队伍成员有四名铁血舰船（不包括潜艇），且队伍中有彼得时，这个选项才可以选“是”！！！" xr:uid="{891138A7-CB25-4411-9AA4-DD12B5A922BF}">
          <x14:formula1>
            <xm:f>计算过程!$AJ$106:$AJ$107</xm:f>
          </x14:formula1>
          <xm:sqref>L7:L8 L10:L11 L13:L14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4EE23-C93A-4CFE-B140-22D6F09C9415}">
  <dimension ref="A1:BV198"/>
  <sheetViews>
    <sheetView zoomScaleNormal="100" workbookViewId="0">
      <selection activeCell="C21" sqref="C21"/>
    </sheetView>
  </sheetViews>
  <sheetFormatPr defaultRowHeight="13.8" x14ac:dyDescent="0.25"/>
  <cols>
    <col min="1" max="1" width="24" style="8" customWidth="1"/>
    <col min="2" max="3" width="8.88671875" style="1" customWidth="1"/>
    <col min="4" max="4" width="8.88671875" style="9" customWidth="1"/>
    <col min="5" max="5" width="24.33203125" style="8" customWidth="1"/>
    <col min="6" max="7" width="8.88671875" style="1" customWidth="1"/>
    <col min="8" max="8" width="8.88671875" style="9" customWidth="1"/>
    <col min="9" max="9" width="23.5546875" style="8" customWidth="1"/>
    <col min="10" max="12" width="8.88671875" style="1" customWidth="1"/>
    <col min="13" max="13" width="8.88671875" style="6" customWidth="1"/>
    <col min="14" max="14" width="8.88671875" style="9" customWidth="1"/>
    <col min="15" max="15" width="8.88671875" style="8" customWidth="1"/>
    <col min="16" max="16" width="8.88671875" style="1" customWidth="1"/>
    <col min="17" max="17" width="8.88671875" style="9" customWidth="1"/>
    <col min="18" max="18" width="8.88671875" style="8" customWidth="1"/>
    <col min="19" max="19" width="8.88671875" style="9" customWidth="1"/>
    <col min="20" max="20" width="8.88671875" style="6" customWidth="1"/>
    <col min="21" max="21" width="8.88671875" style="8" customWidth="1"/>
    <col min="22" max="22" width="8.88671875" style="1" customWidth="1"/>
    <col min="23" max="23" width="8.88671875" style="9" customWidth="1"/>
    <col min="24" max="24" width="8.88671875" style="8" customWidth="1"/>
    <col min="25" max="25" width="8.88671875" style="1" customWidth="1"/>
    <col min="26" max="26" width="8.88671875" style="9"/>
    <col min="27" max="27" width="8.88671875" style="6"/>
    <col min="28" max="32" width="8.88671875" style="1"/>
    <col min="33" max="51" width="10.77734375" style="1" customWidth="1"/>
    <col min="52" max="60" width="8.88671875" style="1"/>
    <col min="61" max="61" width="36.77734375" style="6" customWidth="1"/>
    <col min="62" max="62" width="8.88671875" style="1"/>
    <col min="63" max="63" width="8.88671875" style="9"/>
    <col min="64" max="65" width="8.88671875" style="1"/>
    <col min="66" max="66" width="17" style="8" customWidth="1"/>
    <col min="67" max="67" width="8.88671875" style="8"/>
    <col min="68" max="68" width="8.88671875" style="1"/>
    <col min="69" max="69" width="8.88671875" style="9"/>
    <col min="70" max="70" width="8.88671875" style="8"/>
    <col min="71" max="71" width="8.88671875" style="1"/>
    <col min="72" max="72" width="8.88671875" style="6"/>
    <col min="73" max="73" width="8.88671875" style="1"/>
    <col min="74" max="74" width="8.88671875" style="9"/>
    <col min="75" max="16384" width="8.88671875" style="1"/>
  </cols>
  <sheetData>
    <row r="1" spans="1:74" ht="14.4" thickBot="1" x14ac:dyDescent="0.3">
      <c r="A1" s="11" t="s">
        <v>149</v>
      </c>
      <c r="B1" s="14">
        <v>8.9784774502607494</v>
      </c>
      <c r="C1" s="14">
        <v>0</v>
      </c>
      <c r="D1" s="17">
        <v>47</v>
      </c>
      <c r="E1" s="11" t="s">
        <v>144</v>
      </c>
      <c r="F1" s="14">
        <v>9.177999171377655</v>
      </c>
      <c r="G1" s="14">
        <v>1</v>
      </c>
      <c r="H1" s="17">
        <v>48</v>
      </c>
      <c r="I1" s="11" t="s">
        <v>163</v>
      </c>
      <c r="J1" s="14">
        <v>9.9760860558452773</v>
      </c>
      <c r="K1" s="14" t="s">
        <v>182</v>
      </c>
      <c r="L1" s="14">
        <v>45</v>
      </c>
      <c r="M1" s="2">
        <v>10655</v>
      </c>
      <c r="N1" s="9" t="s">
        <v>208</v>
      </c>
      <c r="O1" s="8">
        <v>71</v>
      </c>
      <c r="P1" s="1">
        <v>354</v>
      </c>
      <c r="Q1" s="9">
        <v>839</v>
      </c>
      <c r="R1" s="8">
        <v>53</v>
      </c>
      <c r="S1" s="9">
        <v>0</v>
      </c>
      <c r="T1" s="6">
        <f t="shared" ref="T1:T37" si="0">O1+P1*($AH$5-1)/1000+Q1*($AH$5-100)/1000+R1</f>
        <v>182.90600000000001</v>
      </c>
      <c r="U1" s="8">
        <v>3</v>
      </c>
      <c r="V1" s="7">
        <v>3</v>
      </c>
      <c r="W1" s="9">
        <v>0</v>
      </c>
      <c r="X1" s="8" t="s">
        <v>0</v>
      </c>
      <c r="Y1" s="1" t="s">
        <v>48</v>
      </c>
      <c r="Z1" s="9" t="s">
        <v>209</v>
      </c>
      <c r="AA1" s="6">
        <v>0.25</v>
      </c>
      <c r="AC1" s="82" t="s">
        <v>139</v>
      </c>
      <c r="AD1" s="1">
        <v>0</v>
      </c>
      <c r="AE1" s="1">
        <v>0</v>
      </c>
      <c r="AF1" s="7">
        <v>0</v>
      </c>
      <c r="AI1" s="1" t="s">
        <v>217</v>
      </c>
      <c r="AJ1" s="1">
        <f>Sheet1!Q1</f>
        <v>1.3</v>
      </c>
      <c r="AK1" s="1" t="s">
        <v>218</v>
      </c>
      <c r="AL1" s="1">
        <f>Sheet1!Q2</f>
        <v>0.1</v>
      </c>
      <c r="AM1" s="1" t="s">
        <v>257</v>
      </c>
      <c r="AN1" s="1">
        <v>0.6</v>
      </c>
      <c r="AQ1" s="7"/>
      <c r="BI1" s="2" t="s">
        <v>300</v>
      </c>
      <c r="BJ1" s="14">
        <v>2700</v>
      </c>
      <c r="BK1" s="17">
        <f t="shared" ref="BK1:BK12" si="1">BJ1/(6*((100+100)*3.14)^0.5)</f>
        <v>17.956954900521499</v>
      </c>
      <c r="BL1" s="7"/>
      <c r="BM1" s="1">
        <v>10501</v>
      </c>
      <c r="BN1" s="11" t="s">
        <v>317</v>
      </c>
      <c r="BO1" s="11">
        <v>49</v>
      </c>
      <c r="BP1" s="14">
        <v>242</v>
      </c>
      <c r="BQ1" s="17">
        <v>568</v>
      </c>
      <c r="BR1" s="49">
        <v>36</v>
      </c>
      <c r="BS1" s="56"/>
      <c r="BT1" s="155">
        <f t="shared" ref="BT1:BT64" si="2">BO1+BP1*($AH$5-1)/1000+BQ1*($AH$5-100)/1000+BR1</f>
        <v>125.158</v>
      </c>
      <c r="BU1" s="56"/>
      <c r="BV1" s="114"/>
    </row>
    <row r="2" spans="1:74" x14ac:dyDescent="0.25">
      <c r="A2" s="8" t="s">
        <v>150</v>
      </c>
      <c r="B2" s="1">
        <v>9.2445064117499562</v>
      </c>
      <c r="C2" s="1">
        <v>0</v>
      </c>
      <c r="D2" s="9">
        <v>50</v>
      </c>
      <c r="E2" s="8" t="s">
        <v>143</v>
      </c>
      <c r="F2" s="1">
        <v>9.9760860558452773</v>
      </c>
      <c r="G2" s="7">
        <v>2</v>
      </c>
      <c r="H2" s="9">
        <v>48</v>
      </c>
      <c r="I2" s="8" t="s">
        <v>164</v>
      </c>
      <c r="J2" s="1">
        <v>10.308622257706785</v>
      </c>
      <c r="K2" s="1" t="s">
        <v>182</v>
      </c>
      <c r="L2" s="1">
        <v>52</v>
      </c>
      <c r="M2" s="6">
        <v>10703</v>
      </c>
      <c r="N2" s="9" t="s">
        <v>60</v>
      </c>
      <c r="O2" s="8">
        <v>41</v>
      </c>
      <c r="P2" s="1">
        <v>202</v>
      </c>
      <c r="Q2" s="9">
        <v>473</v>
      </c>
      <c r="R2" s="8">
        <v>30</v>
      </c>
      <c r="S2" s="9">
        <v>0</v>
      </c>
      <c r="T2" s="6">
        <f t="shared" si="0"/>
        <v>104.49799999999999</v>
      </c>
      <c r="U2" s="8">
        <v>2</v>
      </c>
      <c r="V2" s="1">
        <v>3</v>
      </c>
      <c r="W2" s="9">
        <v>3</v>
      </c>
      <c r="X2" s="8" t="s">
        <v>0</v>
      </c>
      <c r="Y2" s="1" t="s">
        <v>1</v>
      </c>
      <c r="Z2" s="9" t="s">
        <v>1</v>
      </c>
      <c r="AA2" s="6">
        <v>0</v>
      </c>
      <c r="AK2" s="1" t="s">
        <v>298</v>
      </c>
      <c r="AL2" s="1">
        <v>0.17</v>
      </c>
      <c r="AM2" s="1" t="s">
        <v>299</v>
      </c>
      <c r="AN2" s="1">
        <v>0.41</v>
      </c>
      <c r="BI2" s="6" t="s">
        <v>301</v>
      </c>
      <c r="BJ2" s="1">
        <v>2736</v>
      </c>
      <c r="BK2" s="9">
        <f t="shared" si="1"/>
        <v>18.196380965861785</v>
      </c>
      <c r="BM2" s="1">
        <v>10501</v>
      </c>
      <c r="BN2" s="8" t="s">
        <v>318</v>
      </c>
      <c r="BO2" s="8">
        <v>49</v>
      </c>
      <c r="BP2" s="1">
        <v>242</v>
      </c>
      <c r="BQ2" s="9">
        <v>568</v>
      </c>
      <c r="BR2" s="8">
        <v>36</v>
      </c>
      <c r="BS2" s="1">
        <v>20</v>
      </c>
      <c r="BT2" s="159">
        <f t="shared" si="2"/>
        <v>125.158</v>
      </c>
    </row>
    <row r="3" spans="1:74" ht="14.4" thickBot="1" x14ac:dyDescent="0.3">
      <c r="A3" s="8" t="s">
        <v>151</v>
      </c>
      <c r="B3" s="1">
        <v>9.4440281328668618</v>
      </c>
      <c r="C3" s="1">
        <v>0</v>
      </c>
      <c r="D3" s="9">
        <v>45</v>
      </c>
      <c r="E3" s="50" t="s">
        <v>140</v>
      </c>
      <c r="F3" s="1">
        <v>10.375129498079088</v>
      </c>
      <c r="G3" s="7">
        <v>1</v>
      </c>
      <c r="H3" s="9">
        <v>52</v>
      </c>
      <c r="I3" s="50" t="s">
        <v>173</v>
      </c>
      <c r="J3" s="7">
        <v>10.508143978823691</v>
      </c>
      <c r="K3" s="1" t="s">
        <v>182</v>
      </c>
      <c r="L3" s="1">
        <v>51</v>
      </c>
      <c r="M3" s="6">
        <v>10704</v>
      </c>
      <c r="N3" s="9" t="s">
        <v>65</v>
      </c>
      <c r="O3" s="8">
        <v>48</v>
      </c>
      <c r="P3" s="1">
        <v>238</v>
      </c>
      <c r="Q3" s="9">
        <v>565</v>
      </c>
      <c r="R3" s="8">
        <v>36</v>
      </c>
      <c r="S3" s="9">
        <v>0</v>
      </c>
      <c r="T3" s="6">
        <f t="shared" si="0"/>
        <v>123.622</v>
      </c>
      <c r="U3" s="8">
        <v>2</v>
      </c>
      <c r="V3" s="1">
        <v>3</v>
      </c>
      <c r="W3" s="9">
        <v>3</v>
      </c>
      <c r="X3" s="8" t="s">
        <v>2</v>
      </c>
      <c r="Y3" s="1" t="s">
        <v>1</v>
      </c>
      <c r="Z3" s="9" t="s">
        <v>1</v>
      </c>
      <c r="AA3" s="6">
        <v>0</v>
      </c>
      <c r="AQ3" s="7"/>
      <c r="BI3" s="159" t="s">
        <v>302</v>
      </c>
      <c r="BJ3" s="1">
        <v>2920</v>
      </c>
      <c r="BK3" s="9">
        <f t="shared" si="1"/>
        <v>19.420114188712141</v>
      </c>
      <c r="BM3" s="1">
        <v>10502</v>
      </c>
      <c r="BN3" s="8" t="s">
        <v>319</v>
      </c>
      <c r="BO3" s="8">
        <v>49</v>
      </c>
      <c r="BP3" s="1">
        <v>242</v>
      </c>
      <c r="BQ3" s="9">
        <v>568</v>
      </c>
      <c r="BR3" s="8">
        <v>36</v>
      </c>
      <c r="BT3" s="159">
        <f t="shared" si="2"/>
        <v>125.158</v>
      </c>
    </row>
    <row r="4" spans="1:74" ht="14.4" thickBot="1" x14ac:dyDescent="0.3">
      <c r="A4" s="8" t="s">
        <v>152</v>
      </c>
      <c r="B4" s="1">
        <v>9.5238368213136244</v>
      </c>
      <c r="C4" s="7">
        <v>1</v>
      </c>
      <c r="D4" s="9">
        <v>55</v>
      </c>
      <c r="E4" s="8" t="s">
        <v>145</v>
      </c>
      <c r="F4" s="1">
        <v>10.44163673845139</v>
      </c>
      <c r="G4" s="7">
        <v>2</v>
      </c>
      <c r="H4" s="9">
        <v>48</v>
      </c>
      <c r="I4" s="50" t="s">
        <v>428</v>
      </c>
      <c r="J4" s="7">
        <v>10.601254115344915</v>
      </c>
      <c r="K4" s="7" t="s">
        <v>427</v>
      </c>
      <c r="L4" s="7">
        <v>66</v>
      </c>
      <c r="M4" s="6">
        <v>10706</v>
      </c>
      <c r="N4" s="1" t="s">
        <v>61</v>
      </c>
      <c r="O4" s="8">
        <v>49</v>
      </c>
      <c r="P4" s="1">
        <v>242</v>
      </c>
      <c r="Q4" s="9">
        <v>568</v>
      </c>
      <c r="R4" s="8">
        <v>36</v>
      </c>
      <c r="S4" s="9">
        <v>0</v>
      </c>
      <c r="T4" s="6">
        <f t="shared" si="0"/>
        <v>125.158</v>
      </c>
      <c r="U4" s="8">
        <v>3</v>
      </c>
      <c r="V4" s="1">
        <v>3</v>
      </c>
      <c r="W4" s="9">
        <v>2</v>
      </c>
      <c r="X4" s="8" t="s">
        <v>0</v>
      </c>
      <c r="Y4" s="1" t="s">
        <v>1</v>
      </c>
      <c r="Z4" s="9" t="s">
        <v>2</v>
      </c>
      <c r="AA4" s="6">
        <v>0</v>
      </c>
      <c r="AE4" s="204" t="s">
        <v>268</v>
      </c>
      <c r="AF4" s="1">
        <f>VLOOKUP(AH4,N:S,2,FALSE)+VLOOKUP(AH4,N:S,3,FALSE)*($AH$5-1)/1000+VLOOKUP(AH4,N:S,4,FALSE)*($AH$5-100)/1000+VLOOKUP(AH4,N:S,5,FALSE)</f>
        <v>113.48</v>
      </c>
      <c r="AG4" s="49" t="s">
        <v>67</v>
      </c>
      <c r="AH4" s="56" t="str">
        <f>Sheet1!A6</f>
        <v>奥古斯特·冯·帕塞瓦尔</v>
      </c>
      <c r="AI4" s="14" t="s">
        <v>87</v>
      </c>
      <c r="AJ4" s="17">
        <f>VLOOKUP(Sheet1!D8,IF(Sheet1!D7="战斗机",计算过程!A:B,IF(Sheet1!D7="轰炸机",计算过程!E:F,IF(Sheet1!D7="鱼雷机",计算过程!I:J,AC1:AD1))),2,FALSE)</f>
        <v>10.581301943233223</v>
      </c>
      <c r="AK4" s="1">
        <f>VLOOKUP(AM4,N:S,2,FALSE)+VLOOKUP(AM4,N:S,3,FALSE)*($AM$5-1)/1000+VLOOKUP(AM4,N:S,4,FALSE)*($AM$5-100)/1000+VLOOKUP(AM4,N:S,5,FALSE)</f>
        <v>131.24599999999998</v>
      </c>
      <c r="AL4" s="49" t="s">
        <v>101</v>
      </c>
      <c r="AM4" s="56" t="str">
        <f>Sheet1!A9</f>
        <v>彼得·史特拉塞</v>
      </c>
      <c r="AN4" s="14" t="s">
        <v>87</v>
      </c>
      <c r="AO4" s="17">
        <f>VLOOKUP(Sheet1!D11,IF(Sheet1!D10="战斗机",计算过程!A:B,IF(Sheet1!D10="轰炸机",计算过程!E:F,IF(Sheet1!D10="鱼雷机",计算过程!I:J,AC1:AD1))),2,FALSE)</f>
        <v>10.581301943233223</v>
      </c>
      <c r="AP4" s="1">
        <f>VLOOKUP(AR4,N:S,2,FALSE)+VLOOKUP(AR4,N:S,3,FALSE)*($AR$5-1)/1000+VLOOKUP(AR4,N:S,4,FALSE)*($AR$5-100)/1000+VLOOKUP(AR4,N:S,5,FALSE)</f>
        <v>113.48</v>
      </c>
      <c r="AQ4" s="49" t="s">
        <v>102</v>
      </c>
      <c r="AR4" s="56" t="str">
        <f>Sheet1!A12</f>
        <v>翔鹤</v>
      </c>
      <c r="AS4" s="14" t="s">
        <v>87</v>
      </c>
      <c r="AT4" s="17">
        <f>VLOOKUP(Sheet1!D14,IF(Sheet1!D13="战斗机",计算过程!A:B,IF(Sheet1!D13="轰炸机",计算过程!E:F,IF(Sheet1!D13="鱼雷机",计算过程!I:J,AC1:AD1))),2,FALSE)</f>
        <v>11.372738103663616</v>
      </c>
      <c r="AV4" s="357" t="s">
        <v>196</v>
      </c>
      <c r="AW4" s="358"/>
      <c r="AX4" s="358"/>
      <c r="AY4" s="359"/>
      <c r="AZ4" s="204">
        <f>IF(COUNTIF(Sheet1!D8:F8,"Ju-87 D-4T0")&gt;0,AT107,AT106)</f>
        <v>19</v>
      </c>
      <c r="BA4" s="357" t="s">
        <v>180</v>
      </c>
      <c r="BB4" s="358"/>
      <c r="BC4" s="358"/>
      <c r="BD4" s="359"/>
      <c r="BE4" s="204" t="s">
        <v>188</v>
      </c>
      <c r="BI4" s="159" t="s">
        <v>303</v>
      </c>
      <c r="BJ4" s="1">
        <v>3105</v>
      </c>
      <c r="BK4" s="9">
        <f t="shared" si="1"/>
        <v>20.650498135599722</v>
      </c>
      <c r="BM4" s="1">
        <v>10502</v>
      </c>
      <c r="BN4" s="8" t="s">
        <v>320</v>
      </c>
      <c r="BO4" s="8">
        <v>49</v>
      </c>
      <c r="BP4" s="1">
        <v>242</v>
      </c>
      <c r="BQ4" s="9">
        <v>568</v>
      </c>
      <c r="BR4" s="8">
        <v>36</v>
      </c>
      <c r="BS4" s="1">
        <v>20</v>
      </c>
      <c r="BT4" s="159">
        <f t="shared" si="2"/>
        <v>125.158</v>
      </c>
    </row>
    <row r="5" spans="1:74" ht="14.4" thickBot="1" x14ac:dyDescent="0.3">
      <c r="A5" s="8" t="s">
        <v>153</v>
      </c>
      <c r="B5" s="1">
        <v>9.6435498539837674</v>
      </c>
      <c r="C5" s="7">
        <v>1</v>
      </c>
      <c r="D5" s="58">
        <v>50</v>
      </c>
      <c r="E5" s="50" t="s">
        <v>142</v>
      </c>
      <c r="F5" s="7">
        <v>11.106709142174408</v>
      </c>
      <c r="G5" s="7">
        <v>1</v>
      </c>
      <c r="H5" s="9">
        <v>47</v>
      </c>
      <c r="I5" s="92" t="s">
        <v>179</v>
      </c>
      <c r="J5" s="1">
        <v>10.973694661429805</v>
      </c>
      <c r="K5" s="1" t="s">
        <v>182</v>
      </c>
      <c r="L5" s="1">
        <v>48</v>
      </c>
      <c r="M5" s="6">
        <v>10709</v>
      </c>
      <c r="N5" s="9" t="s">
        <v>62</v>
      </c>
      <c r="O5" s="8">
        <v>48</v>
      </c>
      <c r="P5" s="1">
        <v>238</v>
      </c>
      <c r="Q5" s="9">
        <v>565</v>
      </c>
      <c r="R5" s="8">
        <v>36</v>
      </c>
      <c r="S5" s="9">
        <v>0</v>
      </c>
      <c r="T5" s="6">
        <f t="shared" si="0"/>
        <v>123.622</v>
      </c>
      <c r="U5" s="8">
        <v>3</v>
      </c>
      <c r="V5" s="1">
        <v>3</v>
      </c>
      <c r="W5" s="9">
        <v>2</v>
      </c>
      <c r="X5" s="8" t="s">
        <v>0</v>
      </c>
      <c r="Y5" s="1" t="s">
        <v>1</v>
      </c>
      <c r="Z5" s="9" t="s">
        <v>2</v>
      </c>
      <c r="AA5" s="6">
        <v>0</v>
      </c>
      <c r="AE5" s="205"/>
      <c r="AG5" s="50" t="s">
        <v>83</v>
      </c>
      <c r="AH5" s="1">
        <f>Sheet1!C7</f>
        <v>120</v>
      </c>
      <c r="AI5" s="1" t="s">
        <v>88</v>
      </c>
      <c r="AJ5" s="9">
        <f>VLOOKUP(Sheet1!E8,IF(Sheet1!E7="战斗机",计算过程!A:B,IF(Sheet1!E7="轰炸机",计算过程!E:F,IF(Sheet1!E7="鱼雷机",计算过程!I:J,AC1:AD1))),2,FALSE)</f>
        <v>11.997906163163254</v>
      </c>
      <c r="AL5" s="50" t="s">
        <v>83</v>
      </c>
      <c r="AM5" s="1">
        <f>Sheet1!C10</f>
        <v>120</v>
      </c>
      <c r="AN5" s="1" t="s">
        <v>88</v>
      </c>
      <c r="AO5" s="9">
        <f>VLOOKUP(Sheet1!E11,IF(Sheet1!E10="战斗机",计算过程!A:B,IF(Sheet1!E10="轰炸机",计算过程!E:F,IF(Sheet1!E10="鱼雷机",计算过程!I:J,AC1:AD1))),2,FALSE)</f>
        <v>11.997906163163254</v>
      </c>
      <c r="AQ5" s="50" t="s">
        <v>83</v>
      </c>
      <c r="AR5" s="1">
        <f>Sheet1!C13</f>
        <v>120</v>
      </c>
      <c r="AS5" s="1" t="s">
        <v>88</v>
      </c>
      <c r="AT5" s="9">
        <f>VLOOKUP(Sheet1!E14,IF(Sheet1!E13="战斗机",计算过程!A:B,IF(Sheet1!E13="轰炸机",计算过程!E:F,IF(Sheet1!E13="鱼雷机",计算过程!I:J,AC1:AD1))),2,FALSE)</f>
        <v>11.705274305525124</v>
      </c>
      <c r="AV5" s="11" t="s">
        <v>198</v>
      </c>
      <c r="AW5" s="14">
        <f>IF(COUNTIF(Sheet1!D8:F8,"流星T3")&gt;0,计算过程!L6,IF(COUNTIF(Sheet1!D8:F8,"Ju-87 D-4T0")&gt;0,计算过程!L5,计算过程!L4))+IF(COUNTIF(Sheet1!G7:H8,"100/150号航空燃油T0")&gt;0,5,0)</f>
        <v>48</v>
      </c>
      <c r="AX5" s="14" t="s">
        <v>135</v>
      </c>
      <c r="AY5" s="17">
        <f>AW5*0.6</f>
        <v>28.799999999999997</v>
      </c>
      <c r="AZ5" s="206"/>
      <c r="BA5" s="95" t="s">
        <v>138</v>
      </c>
      <c r="BB5" s="93">
        <f>计算过程!L4+IF(COUNTIF(Sheet1!G7:H8,"100/150号航空燃油T0")&gt;0,5,0)</f>
        <v>66</v>
      </c>
      <c r="BC5" s="93" t="s">
        <v>135</v>
      </c>
      <c r="BD5" s="94">
        <f>BB5*0.6</f>
        <v>39.6</v>
      </c>
      <c r="BE5" s="205"/>
      <c r="BI5" s="6" t="s">
        <v>304</v>
      </c>
      <c r="BJ5" s="1">
        <v>3480</v>
      </c>
      <c r="BK5" s="9">
        <f t="shared" si="1"/>
        <v>23.144519649561044</v>
      </c>
      <c r="BM5" s="1">
        <v>10503</v>
      </c>
      <c r="BN5" s="8" t="s">
        <v>321</v>
      </c>
      <c r="BO5" s="8">
        <v>50</v>
      </c>
      <c r="BP5" s="1">
        <v>250</v>
      </c>
      <c r="BQ5" s="9">
        <v>590</v>
      </c>
      <c r="BR5" s="8">
        <v>38</v>
      </c>
      <c r="BT5" s="159">
        <f t="shared" si="2"/>
        <v>129.55000000000001</v>
      </c>
    </row>
    <row r="6" spans="1:74" ht="14.4" thickBot="1" x14ac:dyDescent="0.3">
      <c r="A6" s="8" t="s">
        <v>154</v>
      </c>
      <c r="B6" s="1">
        <v>10.202210673111104</v>
      </c>
      <c r="C6" s="7">
        <v>1</v>
      </c>
      <c r="D6" s="58">
        <v>49</v>
      </c>
      <c r="E6" s="8" t="s">
        <v>146</v>
      </c>
      <c r="F6" s="1">
        <v>11.705274305525124</v>
      </c>
      <c r="G6" s="7">
        <v>1</v>
      </c>
      <c r="H6" s="9">
        <v>45</v>
      </c>
      <c r="I6" s="8" t="s">
        <v>165</v>
      </c>
      <c r="J6" s="1">
        <v>11.173216382546711</v>
      </c>
      <c r="K6" s="7" t="s">
        <v>183</v>
      </c>
      <c r="L6" s="1">
        <v>51</v>
      </c>
      <c r="M6" s="6">
        <v>10711</v>
      </c>
      <c r="N6" s="9" t="s">
        <v>64</v>
      </c>
      <c r="O6" s="8">
        <v>48</v>
      </c>
      <c r="P6" s="1">
        <v>238</v>
      </c>
      <c r="Q6" s="9">
        <v>565</v>
      </c>
      <c r="R6" s="8">
        <v>36</v>
      </c>
      <c r="S6" s="9">
        <v>0</v>
      </c>
      <c r="T6" s="6">
        <f t="shared" si="0"/>
        <v>123.622</v>
      </c>
      <c r="U6" s="8">
        <v>3</v>
      </c>
      <c r="V6" s="1">
        <v>3</v>
      </c>
      <c r="W6" s="9">
        <v>2</v>
      </c>
      <c r="X6" s="8" t="s">
        <v>0</v>
      </c>
      <c r="Y6" s="1" t="s">
        <v>1</v>
      </c>
      <c r="Z6" s="9" t="s">
        <v>2</v>
      </c>
      <c r="AA6" s="6">
        <v>0</v>
      </c>
      <c r="AE6" s="205"/>
      <c r="AG6" s="50" t="s">
        <v>74</v>
      </c>
      <c r="AH6" s="7" t="str">
        <f>Sheet1!B7</f>
        <v>誓约200</v>
      </c>
      <c r="AI6" s="1" t="s">
        <v>89</v>
      </c>
      <c r="AJ6" s="9">
        <f>VLOOKUP(Sheet1!F8,IF(Sheet1!F7="战斗机",计算过程!A:B,IF(Sheet1!F7="轰炸机",计算过程!E:F,IF(Sheet1!F7="鱼雷机",计算过程!I:J,AC1:AD1))),2,FALSE)</f>
        <v>11.173216382546711</v>
      </c>
      <c r="AL6" s="50" t="s">
        <v>6</v>
      </c>
      <c r="AM6" s="7" t="str">
        <f>Sheet1!B10</f>
        <v>誓约200</v>
      </c>
      <c r="AN6" s="1" t="s">
        <v>89</v>
      </c>
      <c r="AO6" s="9">
        <f>VLOOKUP(Sheet1!F11,IF(Sheet1!F10="战斗机",计算过程!A:B,IF(Sheet1!F10="轰炸机",计算过程!E:F,IF(Sheet1!F10="鱼雷机",计算过程!I:J,AC1:AD1))),2,FALSE)</f>
        <v>11.173216382546711</v>
      </c>
      <c r="AQ6" s="50" t="s">
        <v>6</v>
      </c>
      <c r="AR6" s="7" t="str">
        <f>Sheet1!B13</f>
        <v>失望、陌生</v>
      </c>
      <c r="AS6" s="1" t="s">
        <v>89</v>
      </c>
      <c r="AT6" s="9">
        <f>VLOOKUP(Sheet1!F14,IF(Sheet1!F13="战斗机",计算过程!A:B,IF(Sheet1!F13="轰炸机",计算过程!E:F,IF(Sheet1!F13="鱼雷机",计算过程!I:J,AC1:AD1))),2,FALSE)</f>
        <v>10.973694661429805</v>
      </c>
      <c r="AV6" s="95"/>
      <c r="AW6" s="93" t="s">
        <v>184</v>
      </c>
      <c r="AX6" s="93" t="s">
        <v>185</v>
      </c>
      <c r="AY6" s="93" t="s">
        <v>186</v>
      </c>
      <c r="AZ6" s="96" t="s">
        <v>187</v>
      </c>
      <c r="BB6" s="7" t="s">
        <v>184</v>
      </c>
      <c r="BC6" s="7" t="s">
        <v>200</v>
      </c>
      <c r="BD6" s="7" t="s">
        <v>201</v>
      </c>
      <c r="BE6" s="205"/>
      <c r="BI6" s="6" t="s">
        <v>305</v>
      </c>
      <c r="BJ6" s="1">
        <v>3611</v>
      </c>
      <c r="BK6" s="9">
        <f t="shared" si="1"/>
        <v>24.015764498438198</v>
      </c>
      <c r="BM6" s="1">
        <v>10504</v>
      </c>
      <c r="BN6" s="8" t="s">
        <v>322</v>
      </c>
      <c r="BO6" s="8">
        <v>51</v>
      </c>
      <c r="BP6" s="1">
        <v>256</v>
      </c>
      <c r="BQ6" s="9">
        <v>599</v>
      </c>
      <c r="BR6" s="8">
        <v>38</v>
      </c>
      <c r="BT6" s="159">
        <f t="shared" si="2"/>
        <v>131.44400000000002</v>
      </c>
    </row>
    <row r="7" spans="1:74" x14ac:dyDescent="0.25">
      <c r="A7" s="8" t="s">
        <v>155</v>
      </c>
      <c r="B7" s="1">
        <v>10.44163673845139</v>
      </c>
      <c r="C7" s="7">
        <v>1</v>
      </c>
      <c r="D7" s="58">
        <v>60</v>
      </c>
      <c r="E7" s="8" t="s">
        <v>147</v>
      </c>
      <c r="F7" s="1">
        <v>11.705274305525124</v>
      </c>
      <c r="G7" s="7">
        <v>2</v>
      </c>
      <c r="H7" s="9">
        <v>46</v>
      </c>
      <c r="I7" s="8" t="s">
        <v>166</v>
      </c>
      <c r="J7" s="1">
        <v>11.372738103663616</v>
      </c>
      <c r="K7" s="7" t="s">
        <v>183</v>
      </c>
      <c r="L7" s="1">
        <v>52</v>
      </c>
      <c r="M7" s="6">
        <v>10714</v>
      </c>
      <c r="N7" s="9" t="s">
        <v>426</v>
      </c>
      <c r="O7" s="8">
        <v>48</v>
      </c>
      <c r="P7" s="1">
        <v>238</v>
      </c>
      <c r="Q7" s="9">
        <v>565</v>
      </c>
      <c r="R7" s="8">
        <v>36</v>
      </c>
      <c r="S7" s="9">
        <v>0</v>
      </c>
      <c r="T7" s="6">
        <f t="shared" si="0"/>
        <v>123.622</v>
      </c>
      <c r="U7" s="8">
        <v>3</v>
      </c>
      <c r="V7" s="7">
        <v>3</v>
      </c>
      <c r="W7" s="9">
        <v>2</v>
      </c>
      <c r="X7" s="8" t="s">
        <v>422</v>
      </c>
      <c r="Y7" s="7" t="s">
        <v>420</v>
      </c>
      <c r="Z7" s="9" t="s">
        <v>419</v>
      </c>
      <c r="AA7" s="6">
        <v>0</v>
      </c>
      <c r="AB7" s="7" t="s">
        <v>245</v>
      </c>
      <c r="AE7" s="205"/>
      <c r="AG7" s="50" t="s">
        <v>75</v>
      </c>
      <c r="AH7" s="7">
        <f>AF4*VLOOKUP(AH6,AK106:AL111,2,FALSE)+VLOOKUP(AH4,N:T,6,FALSE)</f>
        <v>127.09760000000001</v>
      </c>
      <c r="AI7" s="7" t="s">
        <v>93</v>
      </c>
      <c r="AJ7" s="9">
        <f>VLOOKUP(AH4,$N:$W,8,FALSE)</f>
        <v>2</v>
      </c>
      <c r="AL7" s="50" t="s">
        <v>75</v>
      </c>
      <c r="AM7" s="7">
        <f>AK4*VLOOKUP(AM6,AK106:AL111,2,FALSE)+VLOOKUP(AM4,N:T,6,FALSE)</f>
        <v>146.99552</v>
      </c>
      <c r="AN7" s="7" t="s">
        <v>93</v>
      </c>
      <c r="AO7" s="9">
        <f>VLOOKUP(AM4,$N:$W,8,FALSE)</f>
        <v>2</v>
      </c>
      <c r="AQ7" s="50" t="s">
        <v>75</v>
      </c>
      <c r="AR7" s="7">
        <f>AP4*VLOOKUP(AR6,AK106:AL111,2,FALSE)+VLOOKUP(AR4,N:T,6,FALSE)</f>
        <v>113.48</v>
      </c>
      <c r="AS7" s="7" t="s">
        <v>93</v>
      </c>
      <c r="AT7" s="9">
        <f>VLOOKUP(AR4,$N:$W,8,FALSE)</f>
        <v>2</v>
      </c>
      <c r="AV7" s="49" t="s">
        <v>112</v>
      </c>
      <c r="AW7" s="56">
        <f>$AV$106</f>
        <v>-12.5</v>
      </c>
      <c r="AX7" s="1">
        <f>AW7-(-105)-$AZ$4</f>
        <v>73.5</v>
      </c>
      <c r="AY7" s="17">
        <f>AX7/$AY$5</f>
        <v>2.5520833333333335</v>
      </c>
      <c r="AZ7" s="2">
        <f>AY7+AZ4/18</f>
        <v>3.6076388888888893</v>
      </c>
      <c r="BA7" s="49" t="s">
        <v>112</v>
      </c>
      <c r="BB7" s="56">
        <f>$AV$106</f>
        <v>-12.5</v>
      </c>
      <c r="BC7" s="14">
        <f>BB7-(-105)</f>
        <v>92.5</v>
      </c>
      <c r="BD7" s="17">
        <f>(BC7-$BD$5*2)/18+2</f>
        <v>2.7388888888888889</v>
      </c>
      <c r="BE7" s="205"/>
      <c r="BI7" s="6" t="s">
        <v>306</v>
      </c>
      <c r="BJ7" s="1">
        <v>3611</v>
      </c>
      <c r="BK7" s="9">
        <f t="shared" si="1"/>
        <v>24.015764498438198</v>
      </c>
      <c r="BM7" s="1">
        <v>10507</v>
      </c>
      <c r="BN7" s="8" t="s">
        <v>323</v>
      </c>
      <c r="BO7" s="8">
        <v>51</v>
      </c>
      <c r="BP7" s="1">
        <v>256</v>
      </c>
      <c r="BQ7" s="9">
        <v>599</v>
      </c>
      <c r="BR7" s="8">
        <v>38</v>
      </c>
      <c r="BT7" s="159">
        <f t="shared" si="2"/>
        <v>131.44400000000002</v>
      </c>
    </row>
    <row r="8" spans="1:74" x14ac:dyDescent="0.25">
      <c r="A8" s="8" t="s">
        <v>449</v>
      </c>
      <c r="B8" s="1">
        <v>10.581301943233223</v>
      </c>
      <c r="C8" s="7">
        <v>0</v>
      </c>
      <c r="D8" s="58">
        <v>50</v>
      </c>
      <c r="E8" s="8" t="s">
        <v>148</v>
      </c>
      <c r="F8" s="1">
        <v>11.878193130493109</v>
      </c>
      <c r="G8" s="7">
        <v>2</v>
      </c>
      <c r="H8" s="9">
        <v>45</v>
      </c>
      <c r="I8" s="8" t="s">
        <v>167</v>
      </c>
      <c r="J8" s="1">
        <v>11.399340999812537</v>
      </c>
      <c r="K8" s="7" t="s">
        <v>183</v>
      </c>
      <c r="L8" s="1">
        <v>48</v>
      </c>
      <c r="M8" s="6">
        <v>10722</v>
      </c>
      <c r="N8" s="9" t="s">
        <v>424</v>
      </c>
      <c r="O8" s="8">
        <v>67</v>
      </c>
      <c r="P8" s="1">
        <v>332</v>
      </c>
      <c r="Q8" s="9">
        <v>786</v>
      </c>
      <c r="R8" s="8">
        <v>50</v>
      </c>
      <c r="S8" s="9">
        <v>20</v>
      </c>
      <c r="T8" s="6">
        <f t="shared" si="0"/>
        <v>172.22800000000001</v>
      </c>
      <c r="U8" s="8">
        <v>4</v>
      </c>
      <c r="V8" s="7">
        <v>4</v>
      </c>
      <c r="W8" s="9">
        <v>0</v>
      </c>
      <c r="X8" s="8" t="s">
        <v>422</v>
      </c>
      <c r="Y8" s="7" t="s">
        <v>419</v>
      </c>
      <c r="Z8" s="9" t="s">
        <v>423</v>
      </c>
      <c r="AA8" s="6">
        <v>0.25</v>
      </c>
      <c r="AB8" s="7"/>
      <c r="AE8" s="205"/>
      <c r="AG8" s="50" t="s">
        <v>76</v>
      </c>
      <c r="AH8" s="1">
        <f>Sheet1!K7</f>
        <v>33</v>
      </c>
      <c r="AI8" s="7" t="s">
        <v>94</v>
      </c>
      <c r="AJ8" s="9">
        <f>VLOOKUP(AH4,$N:$W,9,FALSE)</f>
        <v>3</v>
      </c>
      <c r="AL8" s="50" t="s">
        <v>5</v>
      </c>
      <c r="AM8" s="1">
        <f>Sheet1!K10</f>
        <v>33</v>
      </c>
      <c r="AN8" s="7" t="s">
        <v>94</v>
      </c>
      <c r="AO8" s="9">
        <f>VLOOKUP(AM4,$N:$W,9,FALSE)</f>
        <v>3</v>
      </c>
      <c r="AQ8" s="50" t="s">
        <v>5</v>
      </c>
      <c r="AR8" s="1">
        <f>Sheet1!K13</f>
        <v>33</v>
      </c>
      <c r="AS8" s="7" t="s">
        <v>94</v>
      </c>
      <c r="AT8" s="9">
        <f>VLOOKUP(AR4,$N:$W,9,FALSE)</f>
        <v>2</v>
      </c>
      <c r="AV8" s="50" t="s">
        <v>113</v>
      </c>
      <c r="AW8" s="7">
        <f>$AV$107</f>
        <v>0</v>
      </c>
      <c r="AX8" s="1">
        <f>AW8-(-105)-$AZ$4</f>
        <v>86</v>
      </c>
      <c r="AY8" s="9">
        <f>AX8/$AY$5</f>
        <v>2.9861111111111116</v>
      </c>
      <c r="AZ8" s="6">
        <f>AY8+AZ4/18</f>
        <v>4.041666666666667</v>
      </c>
      <c r="BA8" s="50" t="s">
        <v>113</v>
      </c>
      <c r="BB8" s="7">
        <f>$AV$107</f>
        <v>0</v>
      </c>
      <c r="BC8" s="1">
        <f>BB8-(-105)</f>
        <v>105</v>
      </c>
      <c r="BD8" s="9">
        <f>(BC8-$BD$5*2)/18+2</f>
        <v>3.4333333333333331</v>
      </c>
      <c r="BE8" s="205"/>
      <c r="BI8" s="6" t="s">
        <v>307</v>
      </c>
      <c r="BJ8" s="1">
        <v>3611</v>
      </c>
      <c r="BK8" s="9">
        <f t="shared" si="1"/>
        <v>24.015764498438198</v>
      </c>
      <c r="BM8" s="1">
        <v>10508</v>
      </c>
      <c r="BN8" s="8" t="s">
        <v>324</v>
      </c>
      <c r="BO8" s="8">
        <v>51</v>
      </c>
      <c r="BP8" s="1">
        <v>256</v>
      </c>
      <c r="BQ8" s="9">
        <v>599</v>
      </c>
      <c r="BR8" s="8">
        <v>38</v>
      </c>
      <c r="BT8" s="159">
        <f t="shared" si="2"/>
        <v>131.44400000000002</v>
      </c>
    </row>
    <row r="9" spans="1:74" ht="14.4" customHeight="1" thickBot="1" x14ac:dyDescent="0.3">
      <c r="A9" s="8" t="s">
        <v>156</v>
      </c>
      <c r="B9" s="1">
        <v>10.601254115344915</v>
      </c>
      <c r="C9" s="7">
        <v>1</v>
      </c>
      <c r="D9" s="58">
        <v>53</v>
      </c>
      <c r="E9" s="8" t="s">
        <v>207</v>
      </c>
      <c r="F9" s="1">
        <v>11.90479602664203</v>
      </c>
      <c r="G9" s="7">
        <v>2</v>
      </c>
      <c r="H9" s="9">
        <v>45</v>
      </c>
      <c r="I9" s="8" t="s">
        <v>168</v>
      </c>
      <c r="J9" s="1">
        <v>11.625465617078362</v>
      </c>
      <c r="K9" s="7" t="s">
        <v>183</v>
      </c>
      <c r="L9" s="1">
        <v>48</v>
      </c>
      <c r="M9" s="6">
        <v>10738</v>
      </c>
      <c r="N9" s="9" t="s">
        <v>63</v>
      </c>
      <c r="O9" s="8">
        <v>48</v>
      </c>
      <c r="P9" s="1">
        <v>238</v>
      </c>
      <c r="Q9" s="9">
        <v>565</v>
      </c>
      <c r="R9" s="8">
        <v>36</v>
      </c>
      <c r="S9" s="9">
        <v>0</v>
      </c>
      <c r="T9" s="6">
        <f t="shared" si="0"/>
        <v>123.622</v>
      </c>
      <c r="U9" s="8">
        <v>3</v>
      </c>
      <c r="V9" s="1">
        <v>3</v>
      </c>
      <c r="W9" s="9">
        <v>2</v>
      </c>
      <c r="X9" s="8" t="s">
        <v>0</v>
      </c>
      <c r="Y9" s="1" t="s">
        <v>1</v>
      </c>
      <c r="Z9" s="9" t="s">
        <v>2</v>
      </c>
      <c r="AA9" s="6">
        <v>0</v>
      </c>
      <c r="AE9" s="205"/>
      <c r="AG9" s="50" t="s">
        <v>77</v>
      </c>
      <c r="AH9" s="1" t="str">
        <f>Sheet1!I7</f>
        <v>其他</v>
      </c>
      <c r="AI9" s="7" t="s">
        <v>95</v>
      </c>
      <c r="AJ9" s="9">
        <f>VLOOKUP(AH4,$N:$W,10,FALSE)</f>
        <v>3</v>
      </c>
      <c r="AL9" s="50" t="s">
        <v>17</v>
      </c>
      <c r="AM9" s="1" t="str">
        <f>Sheet1!I7</f>
        <v>其他</v>
      </c>
      <c r="AN9" s="7" t="s">
        <v>95</v>
      </c>
      <c r="AO9" s="9">
        <f>VLOOKUP(AM4,$N:$W,10,FALSE)</f>
        <v>3</v>
      </c>
      <c r="AQ9" s="50" t="s">
        <v>17</v>
      </c>
      <c r="AR9" s="1" t="str">
        <f>Sheet1!I7</f>
        <v>其他</v>
      </c>
      <c r="AS9" s="7" t="s">
        <v>95</v>
      </c>
      <c r="AT9" s="9">
        <f>VLOOKUP(AR4,$N:$W,10,FALSE)</f>
        <v>4</v>
      </c>
      <c r="AV9" s="50" t="s">
        <v>114</v>
      </c>
      <c r="AW9" s="7">
        <f>$AV$108</f>
        <v>10</v>
      </c>
      <c r="AX9" s="1">
        <f>AW9-(-105)-$AZ$4</f>
        <v>96</v>
      </c>
      <c r="AY9" s="9">
        <f>AX9/$AY$5</f>
        <v>3.3333333333333335</v>
      </c>
      <c r="AZ9" s="6">
        <f>AY9+AZ4/18</f>
        <v>4.3888888888888893</v>
      </c>
      <c r="BA9" s="57" t="s">
        <v>114</v>
      </c>
      <c r="BB9" s="22">
        <f>$AV$108</f>
        <v>10</v>
      </c>
      <c r="BC9" s="13">
        <f>BB9-(-105)</f>
        <v>115</v>
      </c>
      <c r="BD9" s="5">
        <f>(BC9-$BD$5*2)/18+2</f>
        <v>3.9888888888888889</v>
      </c>
      <c r="BE9" s="206"/>
      <c r="BI9" s="6" t="s">
        <v>308</v>
      </c>
      <c r="BJ9" s="1">
        <v>3630</v>
      </c>
      <c r="BK9" s="9">
        <f t="shared" si="1"/>
        <v>24.142128255145572</v>
      </c>
      <c r="BM9" s="1">
        <v>10509</v>
      </c>
      <c r="BN9" s="8" t="s">
        <v>325</v>
      </c>
      <c r="BO9" s="8">
        <v>55</v>
      </c>
      <c r="BP9" s="1">
        <v>272</v>
      </c>
      <c r="BQ9" s="9">
        <v>643</v>
      </c>
      <c r="BR9" s="8">
        <v>41</v>
      </c>
      <c r="BT9" s="159">
        <f t="shared" si="2"/>
        <v>141.22800000000001</v>
      </c>
    </row>
    <row r="10" spans="1:74" ht="14.4" customHeight="1" thickBot="1" x14ac:dyDescent="0.3">
      <c r="A10" s="8" t="s">
        <v>157</v>
      </c>
      <c r="B10" s="1">
        <v>10.614555563419374</v>
      </c>
      <c r="C10" s="7">
        <v>1</v>
      </c>
      <c r="D10" s="58">
        <v>51</v>
      </c>
      <c r="E10" s="50" t="s">
        <v>425</v>
      </c>
      <c r="F10" s="7">
        <v>11.997906163163254</v>
      </c>
      <c r="G10" s="7">
        <v>1</v>
      </c>
      <c r="H10" s="9">
        <v>52</v>
      </c>
      <c r="I10" s="8" t="s">
        <v>169</v>
      </c>
      <c r="J10" s="1">
        <v>11.638767065152823</v>
      </c>
      <c r="K10" s="1" t="s">
        <v>182</v>
      </c>
      <c r="L10" s="1">
        <v>50</v>
      </c>
      <c r="M10" s="6">
        <v>20603</v>
      </c>
      <c r="N10" s="1" t="s">
        <v>230</v>
      </c>
      <c r="O10" s="8">
        <v>66</v>
      </c>
      <c r="P10" s="1">
        <v>330</v>
      </c>
      <c r="Q10" s="9">
        <v>780</v>
      </c>
      <c r="R10" s="8">
        <v>50</v>
      </c>
      <c r="S10" s="9">
        <v>0</v>
      </c>
      <c r="T10" s="6">
        <f t="shared" si="0"/>
        <v>170.87</v>
      </c>
      <c r="U10" s="8">
        <v>3</v>
      </c>
      <c r="V10" s="7">
        <v>3</v>
      </c>
      <c r="W10" s="9">
        <v>0</v>
      </c>
      <c r="X10" s="8" t="s">
        <v>232</v>
      </c>
      <c r="Y10" s="7" t="s">
        <v>233</v>
      </c>
      <c r="Z10" s="9" t="s">
        <v>234</v>
      </c>
      <c r="AA10" s="6">
        <v>0</v>
      </c>
      <c r="AE10" s="205"/>
      <c r="AG10" s="50" t="s">
        <v>445</v>
      </c>
      <c r="AH10" s="1" t="str">
        <f>Sheet1!L7</f>
        <v>是</v>
      </c>
      <c r="AI10" s="7" t="s">
        <v>90</v>
      </c>
      <c r="AJ10" s="40">
        <f>AJ4*(200/(AH16+100))^0.5</f>
        <v>8.9538826396717717</v>
      </c>
      <c r="AL10" s="50" t="s">
        <v>445</v>
      </c>
      <c r="AM10" s="1" t="str">
        <f>Sheet1!L7</f>
        <v>是</v>
      </c>
      <c r="AN10" s="7" t="s">
        <v>90</v>
      </c>
      <c r="AO10" s="40">
        <f>AO4*(200/(AM16+100))^0.5</f>
        <v>8.616721358271203</v>
      </c>
      <c r="AQ10" s="50" t="s">
        <v>445</v>
      </c>
      <c r="AR10" s="1" t="str">
        <f>Sheet1!L7</f>
        <v>是</v>
      </c>
      <c r="AS10" s="7" t="s">
        <v>90</v>
      </c>
      <c r="AT10" s="40">
        <f>AT4*(200/(AR16+100))^0.5</f>
        <v>10.244462883826237</v>
      </c>
      <c r="AV10" s="360" t="s">
        <v>197</v>
      </c>
      <c r="AW10" s="361"/>
      <c r="AX10" s="361"/>
      <c r="AY10" s="362"/>
      <c r="AZ10" s="204">
        <f>IF(COUNTIF(Sheet1!D11:F11,"Ju-87 D-4T0")&gt;0,AT107,AT106)</f>
        <v>19</v>
      </c>
      <c r="BI10" s="6" t="s">
        <v>309</v>
      </c>
      <c r="BJ10" s="1">
        <v>3880</v>
      </c>
      <c r="BK10" s="9">
        <f t="shared" si="1"/>
        <v>25.804809264453116</v>
      </c>
      <c r="BM10" s="1">
        <v>10510</v>
      </c>
      <c r="BN10" s="8" t="s">
        <v>326</v>
      </c>
      <c r="BO10" s="8">
        <v>54</v>
      </c>
      <c r="BP10" s="1">
        <v>268</v>
      </c>
      <c r="BQ10" s="9">
        <v>632</v>
      </c>
      <c r="BR10" s="8">
        <v>40</v>
      </c>
      <c r="BT10" s="159">
        <f t="shared" si="2"/>
        <v>138.53199999999998</v>
      </c>
    </row>
    <row r="11" spans="1:74" ht="14.4" thickBot="1" x14ac:dyDescent="0.3">
      <c r="A11" s="8" t="s">
        <v>158</v>
      </c>
      <c r="B11" s="1">
        <v>10.614555563419374</v>
      </c>
      <c r="C11" s="7">
        <v>1</v>
      </c>
      <c r="D11" s="58">
        <v>60</v>
      </c>
      <c r="E11" s="50"/>
      <c r="F11" s="7"/>
      <c r="G11" s="7"/>
      <c r="I11" s="8" t="s">
        <v>170</v>
      </c>
      <c r="J11" s="1">
        <v>11.638767065152823</v>
      </c>
      <c r="K11" s="1" t="s">
        <v>182</v>
      </c>
      <c r="L11" s="1">
        <v>52</v>
      </c>
      <c r="M11" s="6">
        <v>20604</v>
      </c>
      <c r="N11" s="9" t="s">
        <v>59</v>
      </c>
      <c r="O11" s="8">
        <v>59</v>
      </c>
      <c r="P11" s="1">
        <v>292</v>
      </c>
      <c r="Q11" s="9">
        <v>691</v>
      </c>
      <c r="R11" s="8">
        <v>44</v>
      </c>
      <c r="S11" s="9">
        <v>0</v>
      </c>
      <c r="T11" s="6">
        <f t="shared" si="0"/>
        <v>151.56799999999998</v>
      </c>
      <c r="U11" s="8">
        <v>2</v>
      </c>
      <c r="V11" s="1">
        <v>2</v>
      </c>
      <c r="W11" s="9">
        <v>4</v>
      </c>
      <c r="X11" s="8" t="s">
        <v>18</v>
      </c>
      <c r="Y11" s="1" t="s">
        <v>18</v>
      </c>
      <c r="Z11" s="9" t="s">
        <v>20</v>
      </c>
      <c r="AA11" s="6">
        <v>0</v>
      </c>
      <c r="AE11" s="205"/>
      <c r="AG11" s="50" t="s">
        <v>78</v>
      </c>
      <c r="AH11" s="1" t="str">
        <f>Sheet1!M7</f>
        <v>否</v>
      </c>
      <c r="AI11" s="7" t="s">
        <v>91</v>
      </c>
      <c r="AJ11" s="40">
        <f>AJ5*(200/(AH16+100))^0.5</f>
        <v>10.152611113744738</v>
      </c>
      <c r="AL11" s="50" t="s">
        <v>24</v>
      </c>
      <c r="AM11" s="1" t="str">
        <f>Sheet1!M7</f>
        <v>否</v>
      </c>
      <c r="AN11" s="7" t="s">
        <v>91</v>
      </c>
      <c r="AO11" s="40">
        <f>AO5*(200/(AM16+100))^0.5</f>
        <v>9.7703113326972044</v>
      </c>
      <c r="AQ11" s="50" t="s">
        <v>24</v>
      </c>
      <c r="AR11" s="1" t="str">
        <f>Sheet1!M7</f>
        <v>否</v>
      </c>
      <c r="AS11" s="7" t="s">
        <v>91</v>
      </c>
      <c r="AT11" s="40">
        <f>AT5*(200/(AR16+100))^0.5</f>
        <v>10.544008582183729</v>
      </c>
      <c r="AV11" s="95" t="s">
        <v>198</v>
      </c>
      <c r="AW11" s="93">
        <f>IF(COUNTIF(Sheet1!D11:F11,"流星T3")&gt;0,计算过程!L6,IF(COUNTIF(Sheet1!D11:F11,"Ju-87 D-4T0")&gt;0,计算过程!L5,计算过程!L4))+IF(COUNTIF(Sheet1!G10:H11,"100/150号航空燃油T0")&gt;0,5,0)</f>
        <v>48</v>
      </c>
      <c r="AX11" s="93" t="s">
        <v>135</v>
      </c>
      <c r="AY11" s="94">
        <f>AW11*0.6</f>
        <v>28.799999999999997</v>
      </c>
      <c r="AZ11" s="206"/>
      <c r="BI11" s="6" t="s">
        <v>310</v>
      </c>
      <c r="BJ11" s="1">
        <v>4389</v>
      </c>
      <c r="BK11" s="9">
        <f t="shared" si="1"/>
        <v>29.190027799403282</v>
      </c>
      <c r="BM11" s="1">
        <v>10511</v>
      </c>
      <c r="BN11" s="8" t="s">
        <v>327</v>
      </c>
      <c r="BO11" s="8">
        <v>55</v>
      </c>
      <c r="BP11" s="1">
        <v>272</v>
      </c>
      <c r="BQ11" s="9">
        <v>643</v>
      </c>
      <c r="BR11" s="8">
        <v>41</v>
      </c>
      <c r="BT11" s="159">
        <f t="shared" si="2"/>
        <v>141.22800000000001</v>
      </c>
    </row>
    <row r="12" spans="1:74" ht="14.4" thickBot="1" x14ac:dyDescent="0.3">
      <c r="A12" s="8" t="s">
        <v>159</v>
      </c>
      <c r="B12" s="1">
        <v>10.614555563419374</v>
      </c>
      <c r="C12" s="7">
        <v>1</v>
      </c>
      <c r="D12" s="58">
        <v>52</v>
      </c>
      <c r="E12" s="50"/>
      <c r="F12" s="7"/>
      <c r="G12" s="7"/>
      <c r="I12" s="8" t="s">
        <v>171</v>
      </c>
      <c r="J12" s="1">
        <v>12.037810507386634</v>
      </c>
      <c r="K12" s="1" t="s">
        <v>182</v>
      </c>
      <c r="L12" s="1">
        <v>48</v>
      </c>
      <c r="M12" s="6">
        <v>20702</v>
      </c>
      <c r="N12" s="9" t="s">
        <v>421</v>
      </c>
      <c r="O12" s="8">
        <v>43</v>
      </c>
      <c r="P12" s="1">
        <v>216</v>
      </c>
      <c r="Q12" s="9">
        <v>504</v>
      </c>
      <c r="R12" s="8">
        <v>32</v>
      </c>
      <c r="S12" s="9">
        <v>15</v>
      </c>
      <c r="T12" s="6">
        <f t="shared" si="0"/>
        <v>110.78400000000001</v>
      </c>
      <c r="U12" s="8">
        <v>3</v>
      </c>
      <c r="V12" s="7">
        <v>3</v>
      </c>
      <c r="W12" s="9">
        <v>2</v>
      </c>
      <c r="X12" s="8" t="s">
        <v>419</v>
      </c>
      <c r="Y12" s="7" t="s">
        <v>419</v>
      </c>
      <c r="Z12" s="9" t="s">
        <v>420</v>
      </c>
      <c r="AA12" s="6">
        <v>0</v>
      </c>
      <c r="AE12" s="205"/>
      <c r="AG12" s="50" t="s">
        <v>79</v>
      </c>
      <c r="AH12" s="1" t="str">
        <f>Sheet1!N7</f>
        <v>否</v>
      </c>
      <c r="AI12" s="7" t="s">
        <v>92</v>
      </c>
      <c r="AJ12" s="40">
        <f>AJ6*(200/(AH16+100))^0.5</f>
        <v>9.4547597955050779</v>
      </c>
      <c r="AL12" s="50" t="s">
        <v>79</v>
      </c>
      <c r="AM12" s="1" t="str">
        <f>Sheet1!N10</f>
        <v>否</v>
      </c>
      <c r="AN12" s="7" t="s">
        <v>92</v>
      </c>
      <c r="AO12" s="40">
        <f>AO6*(200/(AM16+100))^0.5</f>
        <v>9.0987378264585939</v>
      </c>
      <c r="AQ12" s="50" t="s">
        <v>79</v>
      </c>
      <c r="AR12" s="1" t="str">
        <f>Sheet1!N13</f>
        <v>否</v>
      </c>
      <c r="AS12" s="7" t="s">
        <v>92</v>
      </c>
      <c r="AT12" s="40">
        <f>AT6*(200/(AR16+100))^0.5</f>
        <v>9.8850080457972478</v>
      </c>
      <c r="AV12" s="95"/>
      <c r="AW12" s="93" t="s">
        <v>184</v>
      </c>
      <c r="AX12" s="93" t="s">
        <v>185</v>
      </c>
      <c r="AY12" s="93" t="s">
        <v>186</v>
      </c>
      <c r="AZ12" s="96" t="s">
        <v>187</v>
      </c>
      <c r="BI12" s="6" t="s">
        <v>311</v>
      </c>
      <c r="BJ12" s="1">
        <v>4610</v>
      </c>
      <c r="BK12" s="9">
        <f t="shared" si="1"/>
        <v>30.659837811631153</v>
      </c>
      <c r="BM12" s="1">
        <v>10512</v>
      </c>
      <c r="BN12" s="8" t="s">
        <v>328</v>
      </c>
      <c r="BO12" s="8">
        <v>58</v>
      </c>
      <c r="BP12" s="1">
        <v>290</v>
      </c>
      <c r="BQ12" s="9">
        <v>685</v>
      </c>
      <c r="BR12" s="8">
        <v>44</v>
      </c>
      <c r="BT12" s="159">
        <f t="shared" si="2"/>
        <v>150.20999999999998</v>
      </c>
    </row>
    <row r="13" spans="1:74" x14ac:dyDescent="0.25">
      <c r="A13" s="8" t="s">
        <v>160</v>
      </c>
      <c r="B13" s="1">
        <v>10.707665699940597</v>
      </c>
      <c r="C13" s="7">
        <v>1</v>
      </c>
      <c r="D13" s="58">
        <v>60</v>
      </c>
      <c r="E13" s="50"/>
      <c r="F13" s="7"/>
      <c r="G13" s="7"/>
      <c r="I13" s="50" t="s">
        <v>174</v>
      </c>
      <c r="J13" s="7">
        <v>12.037810507386634</v>
      </c>
      <c r="K13" s="1" t="s">
        <v>182</v>
      </c>
      <c r="L13" s="7">
        <v>48</v>
      </c>
      <c r="M13" s="6">
        <v>20703</v>
      </c>
      <c r="N13" s="9" t="s">
        <v>56</v>
      </c>
      <c r="O13" s="8">
        <v>43</v>
      </c>
      <c r="P13" s="1">
        <v>216</v>
      </c>
      <c r="Q13" s="9">
        <v>504</v>
      </c>
      <c r="R13" s="8">
        <v>32</v>
      </c>
      <c r="S13" s="9">
        <v>0</v>
      </c>
      <c r="T13" s="6">
        <f t="shared" si="0"/>
        <v>110.78400000000001</v>
      </c>
      <c r="U13" s="8">
        <v>3</v>
      </c>
      <c r="V13" s="1">
        <v>3</v>
      </c>
      <c r="W13" s="9">
        <v>2</v>
      </c>
      <c r="X13" s="8" t="s">
        <v>18</v>
      </c>
      <c r="Y13" s="1" t="s">
        <v>18</v>
      </c>
      <c r="Z13" s="9" t="s">
        <v>20</v>
      </c>
      <c r="AA13" s="6">
        <v>0</v>
      </c>
      <c r="AE13" s="205"/>
      <c r="AG13" s="50" t="s">
        <v>80</v>
      </c>
      <c r="AH13" s="1">
        <f>Sheet1!O7</f>
        <v>0.12</v>
      </c>
      <c r="AI13" s="7" t="s">
        <v>96</v>
      </c>
      <c r="AJ13" s="40">
        <f>(AJ10*AJ7+AJ11*AJ8+AJ12*AJ9)/SUM(AJ7:AJ9)*2.2</f>
        <v>21.100716451950575</v>
      </c>
      <c r="AL13" s="50" t="s">
        <v>25</v>
      </c>
      <c r="AM13" s="1">
        <f>Sheet1!O10</f>
        <v>0.12</v>
      </c>
      <c r="AN13" s="7" t="s">
        <v>96</v>
      </c>
      <c r="AO13" s="40">
        <f>(AO10*AO7+AO11*AO8+AO12*AO9)/SUM(AO7:AO9)*2.2</f>
        <v>20.306162303352693</v>
      </c>
      <c r="AQ13" s="50" t="s">
        <v>25</v>
      </c>
      <c r="AR13" s="1">
        <f>Sheet1!O13</f>
        <v>0</v>
      </c>
      <c r="AS13" s="7" t="s">
        <v>96</v>
      </c>
      <c r="AT13" s="40">
        <f>(AT10*AT7+AT11*AT8+AT12*AT9)/SUM(AT7:AT9)*2.2</f>
        <v>22.307168156682458</v>
      </c>
      <c r="AV13" s="49" t="s">
        <v>112</v>
      </c>
      <c r="AW13" s="56">
        <f>$AV$106</f>
        <v>-12.5</v>
      </c>
      <c r="AX13" s="1">
        <f>AW13-(-105)-$AZ$10</f>
        <v>73.5</v>
      </c>
      <c r="AY13" s="17">
        <f>AX13/$AY$11</f>
        <v>2.5520833333333335</v>
      </c>
      <c r="AZ13" s="2">
        <f>AY13+AZ10/18</f>
        <v>3.6076388888888893</v>
      </c>
      <c r="BB13" s="36"/>
      <c r="BC13" s="36"/>
      <c r="BD13" s="158"/>
      <c r="BE13" s="158"/>
      <c r="BF13" s="158"/>
      <c r="BG13" s="158"/>
      <c r="BH13" s="158"/>
      <c r="BI13" s="160"/>
      <c r="BJ13" s="7"/>
      <c r="BM13" s="1">
        <v>10513</v>
      </c>
      <c r="BN13" s="8" t="s">
        <v>329</v>
      </c>
      <c r="BO13" s="8">
        <v>58</v>
      </c>
      <c r="BP13" s="1">
        <v>290</v>
      </c>
      <c r="BQ13" s="9">
        <v>685</v>
      </c>
      <c r="BR13" s="8">
        <v>44</v>
      </c>
      <c r="BT13" s="159">
        <f t="shared" si="2"/>
        <v>150.20999999999998</v>
      </c>
    </row>
    <row r="14" spans="1:74" x14ac:dyDescent="0.25">
      <c r="A14" s="8" t="s">
        <v>161</v>
      </c>
      <c r="B14" s="1">
        <v>10.81407728453628</v>
      </c>
      <c r="C14" s="1">
        <v>1</v>
      </c>
      <c r="D14" s="58">
        <v>52</v>
      </c>
      <c r="E14" s="50"/>
      <c r="F14" s="7"/>
      <c r="G14" s="7"/>
      <c r="I14" s="8" t="s">
        <v>172</v>
      </c>
      <c r="J14" s="1">
        <v>12.170824988131239</v>
      </c>
      <c r="K14" s="1" t="s">
        <v>182</v>
      </c>
      <c r="L14" s="1">
        <v>45</v>
      </c>
      <c r="M14" s="6">
        <v>20704</v>
      </c>
      <c r="N14" s="1" t="s">
        <v>57</v>
      </c>
      <c r="O14" s="8">
        <v>38</v>
      </c>
      <c r="P14" s="1">
        <v>190</v>
      </c>
      <c r="Q14" s="9">
        <v>448</v>
      </c>
      <c r="R14" s="8">
        <v>29</v>
      </c>
      <c r="S14" s="9">
        <v>0</v>
      </c>
      <c r="T14" s="6">
        <f t="shared" si="0"/>
        <v>98.57</v>
      </c>
      <c r="U14" s="8">
        <v>2</v>
      </c>
      <c r="V14" s="1">
        <v>3</v>
      </c>
      <c r="W14" s="9">
        <v>3</v>
      </c>
      <c r="X14" s="8" t="s">
        <v>18</v>
      </c>
      <c r="Y14" s="1" t="s">
        <v>19</v>
      </c>
      <c r="Z14" s="9" t="s">
        <v>20</v>
      </c>
      <c r="AA14" s="6">
        <v>0</v>
      </c>
      <c r="AE14" s="205"/>
      <c r="AG14" s="50" t="s">
        <v>81</v>
      </c>
      <c r="AH14" s="1">
        <f>Sheet1!P7</f>
        <v>0</v>
      </c>
      <c r="AI14" s="7" t="s">
        <v>99</v>
      </c>
      <c r="AJ14" s="9">
        <f>Sheet1!Q7</f>
        <v>0</v>
      </c>
      <c r="AL14" s="50" t="s">
        <v>26</v>
      </c>
      <c r="AM14" s="1">
        <f>Sheet1!P10</f>
        <v>0</v>
      </c>
      <c r="AN14" s="7" t="s">
        <v>99</v>
      </c>
      <c r="AO14" s="9">
        <f>Sheet1!Q10</f>
        <v>0</v>
      </c>
      <c r="AQ14" s="50" t="s">
        <v>26</v>
      </c>
      <c r="AR14" s="1">
        <f>Sheet1!P13</f>
        <v>0</v>
      </c>
      <c r="AS14" s="7" t="s">
        <v>99</v>
      </c>
      <c r="AT14" s="9">
        <f>Sheet1!Q13</f>
        <v>0</v>
      </c>
      <c r="AV14" s="50" t="s">
        <v>113</v>
      </c>
      <c r="AW14" s="7">
        <f>$AV$107</f>
        <v>0</v>
      </c>
      <c r="AX14" s="1">
        <f>AW14-(-105)-$AZ$10</f>
        <v>86</v>
      </c>
      <c r="AY14" s="9">
        <f>AX14/$AY$11</f>
        <v>2.9861111111111116</v>
      </c>
      <c r="AZ14" s="6">
        <f>AY14+AZ10/18</f>
        <v>4.041666666666667</v>
      </c>
      <c r="BC14" s="7"/>
      <c r="BH14" s="7"/>
      <c r="BI14" s="159"/>
      <c r="BJ14" s="7"/>
      <c r="BK14" s="58"/>
      <c r="BM14" s="1">
        <v>10514</v>
      </c>
      <c r="BN14" s="8" t="s">
        <v>330</v>
      </c>
      <c r="BO14" s="8">
        <v>58</v>
      </c>
      <c r="BP14" s="1">
        <v>290</v>
      </c>
      <c r="BQ14" s="9">
        <v>685</v>
      </c>
      <c r="BR14" s="8">
        <v>44</v>
      </c>
      <c r="BT14" s="159">
        <f t="shared" si="2"/>
        <v>150.20999999999998</v>
      </c>
    </row>
    <row r="15" spans="1:74" ht="14.4" thickBot="1" x14ac:dyDescent="0.3">
      <c r="A15" s="8" t="s">
        <v>162</v>
      </c>
      <c r="B15" s="1">
        <v>10.900536697020273</v>
      </c>
      <c r="C15" s="1">
        <v>1</v>
      </c>
      <c r="D15" s="58">
        <v>50</v>
      </c>
      <c r="E15" s="50"/>
      <c r="I15" s="50"/>
      <c r="J15" s="7"/>
      <c r="K15" s="7"/>
      <c r="L15" s="7"/>
      <c r="M15" s="6">
        <v>20705</v>
      </c>
      <c r="N15" s="9" t="s">
        <v>58</v>
      </c>
      <c r="O15" s="8">
        <v>43</v>
      </c>
      <c r="P15" s="1">
        <v>216</v>
      </c>
      <c r="Q15" s="9">
        <v>504</v>
      </c>
      <c r="R15" s="8">
        <v>32</v>
      </c>
      <c r="S15" s="9">
        <v>0</v>
      </c>
      <c r="T15" s="6">
        <f t="shared" si="0"/>
        <v>110.78400000000001</v>
      </c>
      <c r="U15" s="8">
        <v>2</v>
      </c>
      <c r="V15" s="1">
        <v>3</v>
      </c>
      <c r="W15" s="9">
        <v>3</v>
      </c>
      <c r="X15" s="50" t="s">
        <v>23</v>
      </c>
      <c r="Y15" s="1" t="s">
        <v>20</v>
      </c>
      <c r="Z15" s="9" t="s">
        <v>20</v>
      </c>
      <c r="AA15" s="6">
        <v>0</v>
      </c>
      <c r="AE15" s="205"/>
      <c r="AG15" s="50" t="s">
        <v>98</v>
      </c>
      <c r="AH15" s="1">
        <f>Sheet1!R7</f>
        <v>0</v>
      </c>
      <c r="AI15" s="7" t="s">
        <v>97</v>
      </c>
      <c r="AJ15" s="9">
        <f>AJ13*IF(1-AH15-IF(COUNTIF(Sheet1!G7:H8,"归航信标T0")&gt;0,0.04,0)&lt;=0,0,1-AH15-IF(COUNTIF(Sheet1!G7:H8,"归航信标T0")&gt;0,0.04,0))</f>
        <v>20.256687793872551</v>
      </c>
      <c r="AK15" s="1">
        <f>AJ13*IF(1-AH15-IF(COUNTIF(Sheet1!G7:H8,"归航信标T0")&gt;0,0.04,0)-0.1&lt;=0,0,1-AH15-IF(COUNTIF(Sheet1!G7:H8,"归航信标T0")&gt;0,0.04,0)-0.1)</f>
        <v>18.146616148677495</v>
      </c>
      <c r="AL15" s="50" t="s">
        <v>98</v>
      </c>
      <c r="AM15" s="1">
        <f>Sheet1!R10</f>
        <v>0</v>
      </c>
      <c r="AN15" s="7" t="s">
        <v>97</v>
      </c>
      <c r="AO15" s="9">
        <f>AO13*IF(1-AM15-IF(COUNTIF(Sheet1!G10:H11,"归航信标T0")&gt;0,0.04,0)&lt;=0,0,1-AM15-IF(COUNTIF(Sheet1!G10:H11,"归航信标T0")&gt;0,0.04,0))</f>
        <v>19.493915811218585</v>
      </c>
      <c r="AP15" s="1">
        <f>AO13*IF(1-AM15-IF(COUNTIF(Sheet1!L7:M8,"归航信标T0")&gt;0,0.04,0)-0.1&lt;=0,0,1-AM15-IF(COUNTIF(Sheet1!L7:M8,"归航信标T0")&gt;0,0.04,0)-0.1)</f>
        <v>18.275546073017424</v>
      </c>
      <c r="AQ15" s="50" t="s">
        <v>98</v>
      </c>
      <c r="AR15" s="1">
        <f>Sheet1!R13</f>
        <v>0</v>
      </c>
      <c r="AS15" s="7" t="s">
        <v>97</v>
      </c>
      <c r="AT15" s="40">
        <f>AT13*IF(1-AR15-IF(COUNTIF(Sheet1!G13:H14,"归航信标T0")&gt;0,0.04,0)&lt;=0,0,1-AR15-IF(COUNTIF(Sheet1!G13:H14,"归航信标T0")&gt;0,0.04,0))</f>
        <v>22.307168156682458</v>
      </c>
      <c r="AU15" s="1">
        <f>AT13*IF(1-AR15-IF(COUNTIF(Sheet1!Q7:R8,"归航信标T0")&gt;0,0.04,0)-0.1&lt;=0,0,1-AR15-IF(COUNTIF(Sheet1!Q7:R8,"归航信标T0")&gt;0,0.04,0)-0.1)</f>
        <v>20.076451341014213</v>
      </c>
      <c r="AV15" s="57" t="s">
        <v>114</v>
      </c>
      <c r="AW15" s="22">
        <f>$AV$108</f>
        <v>10</v>
      </c>
      <c r="AX15" s="1">
        <f>AW15-(-105)-$AZ$10</f>
        <v>96</v>
      </c>
      <c r="AY15" s="5">
        <f>AX15/$AY$11</f>
        <v>3.3333333333333335</v>
      </c>
      <c r="AZ15" s="48">
        <f>AY15+AZ10/18</f>
        <v>4.3888888888888893</v>
      </c>
      <c r="BB15" s="1">
        <f>AZ8-AY8</f>
        <v>1.0555555555555554</v>
      </c>
      <c r="BM15" s="1">
        <v>10519</v>
      </c>
      <c r="BN15" s="8" t="s">
        <v>331</v>
      </c>
      <c r="BO15" s="8">
        <v>57</v>
      </c>
      <c r="BP15" s="1">
        <v>286</v>
      </c>
      <c r="BQ15" s="9">
        <v>674</v>
      </c>
      <c r="BR15" s="8">
        <v>43</v>
      </c>
      <c r="BT15" s="159">
        <f t="shared" si="2"/>
        <v>147.51400000000001</v>
      </c>
    </row>
    <row r="16" spans="1:74" ht="14.4" thickBot="1" x14ac:dyDescent="0.3">
      <c r="A16" s="8" t="s">
        <v>141</v>
      </c>
      <c r="B16" s="1">
        <v>11.372738103663616</v>
      </c>
      <c r="C16" s="1">
        <v>0</v>
      </c>
      <c r="D16" s="58">
        <v>51</v>
      </c>
      <c r="I16" s="50"/>
      <c r="J16" s="7"/>
      <c r="K16" s="7"/>
      <c r="L16" s="7"/>
      <c r="M16" s="6">
        <v>20709</v>
      </c>
      <c r="N16" s="9" t="s">
        <v>236</v>
      </c>
      <c r="O16" s="8">
        <v>41</v>
      </c>
      <c r="P16" s="1">
        <v>202</v>
      </c>
      <c r="Q16" s="9">
        <v>473</v>
      </c>
      <c r="R16" s="8">
        <v>30</v>
      </c>
      <c r="S16" s="9">
        <v>0</v>
      </c>
      <c r="T16" s="6">
        <f t="shared" si="0"/>
        <v>104.49799999999999</v>
      </c>
      <c r="U16" s="8">
        <v>3</v>
      </c>
      <c r="V16" s="7">
        <v>2</v>
      </c>
      <c r="W16" s="9">
        <v>3</v>
      </c>
      <c r="X16" s="8" t="s">
        <v>232</v>
      </c>
      <c r="Y16" s="7" t="s">
        <v>232</v>
      </c>
      <c r="Z16" s="9" t="s">
        <v>233</v>
      </c>
      <c r="AA16" s="6">
        <v>0</v>
      </c>
      <c r="AE16" s="206"/>
      <c r="AG16" s="57" t="s">
        <v>82</v>
      </c>
      <c r="AH16" s="13">
        <f>(AH7+AH8+VLOOKUP(AH9,AN106:AR108,5,FALSE))*(1+IF(AH11="是",0.1,0)+IF(AH12="是",0.2,0)+AH13+AH14)</f>
        <v>179.30931200000001</v>
      </c>
      <c r="AI16" s="22" t="s">
        <v>100</v>
      </c>
      <c r="AJ16" s="5">
        <f>AJ1+AJ13*IF(1-AH15-IF(COUNTIF(Sheet1!G7:H8,"归航信标T0")&gt;0,0.04,0)-AJ14&lt;=0,0,(1-AH15-IF(COUNTIF(Sheet1!G7:H8,"归航信标T0")&gt;0,0.04,0)-AJ14))+AL1</f>
        <v>21.656687793872553</v>
      </c>
      <c r="AK16" s="1">
        <f>$AJ$1+AJ13*IF(1-AH15-IF(COUNTIF(Sheet1!G7:H8,"归航信标T0")&gt;0,0.04,0)-AJ14-0.1&lt;=0,0,(1-AH15-IF(COUNTIF(Sheet1!G7:H8,"归航信标T0")&gt;0,0.04,0)-AJ14-0.1))+$AL$1</f>
        <v>19.546616148677497</v>
      </c>
      <c r="AL16" s="57" t="s">
        <v>82</v>
      </c>
      <c r="AM16" s="13">
        <f>(AM7+AM8+VLOOKUP(AM9,AN106:AR108,5,FALSE))*(1+IF(AM11="是",0.1,0)+IF(AM12="是",0.2,0)+AM13+AM14)</f>
        <v>201.59498240000002</v>
      </c>
      <c r="AN16" s="22" t="s">
        <v>100</v>
      </c>
      <c r="AO16" s="5">
        <f>AJ1+AO13*IF(1-AM15-IF(COUNTIF(Sheet1!G10:H11,"归航信标T0")&gt;0,0.04,0)-AO14&lt;=0,0,1-AM15-IF(COUNTIF(Sheet1!G10:H11,"归航信标T0")&gt;0,0.04,0)-AO14)+AL1</f>
        <v>20.893915811218587</v>
      </c>
      <c r="AP16" s="1">
        <f>$AJ$1+AO13*IF(1-AM15-IF(COUNTIF(Sheet1!L7:M8,"归航信标T0")&gt;0,0.04,0)-AO14-0.1&lt;=0,0,(1-AM15-IF(COUNTIF(Sheet1!L7:M8,"归航信标T0")&gt;0,0.04,0)-AO14-0.1))+$AL$1</f>
        <v>19.675546073017426</v>
      </c>
      <c r="AQ16" s="57" t="s">
        <v>82</v>
      </c>
      <c r="AR16" s="13">
        <f>(AR7+AR8+VLOOKUP(AR9,AN106:AR108,5,FALSE))*(1+IF(AR11="是",0.1,0)+IF(AR12="是",0.2,0)+AR13+AR14)</f>
        <v>146.48000000000002</v>
      </c>
      <c r="AS16" s="22" t="s">
        <v>100</v>
      </c>
      <c r="AT16" s="42">
        <f>AJ1+AT13*IF(1-AR15-IF(COUNTIF(Sheet1!G13:H14,"归航信标T0")&gt;0,0.04,0)-AT14&lt;=0,0,1-AR15-IF(COUNTIF(Sheet1!G13:H14,"归航信标T0")&gt;0,0.04,0)-AT14)+AL1</f>
        <v>23.70716815668246</v>
      </c>
      <c r="AU16" s="1">
        <f>$AJ$1+AT13*IF(1-AR15-IF(COUNTIF(Sheet1!Q7:R8,"归航信标T0")&gt;0,0.04,0)-AT14-0.1&lt;=0,0,(1-AR15-IF(COUNTIF(Sheet1!Q7:R8,"归航信标T0")&gt;0,0.04,0)-AT14-0.1))+$AL$1</f>
        <v>21.476451341014215</v>
      </c>
      <c r="AV16" s="360" t="s">
        <v>199</v>
      </c>
      <c r="AW16" s="361"/>
      <c r="AX16" s="361"/>
      <c r="AY16" s="362"/>
      <c r="AZ16" s="204">
        <f>IF(COUNTIF(Sheet1!D14:F14,"Ju-87 D-4T0")&gt;0,AT107,AT106)</f>
        <v>25</v>
      </c>
      <c r="BB16" s="36">
        <f>AZ14-AY14</f>
        <v>1.0555555555555554</v>
      </c>
      <c r="BC16" s="36"/>
      <c r="BD16" s="158"/>
      <c r="BE16" s="158"/>
      <c r="BF16" s="158"/>
      <c r="BG16" s="158"/>
      <c r="BH16" s="158"/>
      <c r="BI16" s="160"/>
      <c r="BJ16" s="7"/>
      <c r="BM16" s="1">
        <v>10520</v>
      </c>
      <c r="BN16" s="8" t="s">
        <v>332</v>
      </c>
      <c r="BO16" s="8">
        <v>57</v>
      </c>
      <c r="BP16" s="1">
        <v>282</v>
      </c>
      <c r="BQ16" s="9">
        <v>663</v>
      </c>
      <c r="BR16" s="8">
        <v>42</v>
      </c>
      <c r="BT16" s="159">
        <f t="shared" si="2"/>
        <v>145.81799999999998</v>
      </c>
    </row>
    <row r="17" spans="5:72" ht="14.4" customHeight="1" thickBot="1" x14ac:dyDescent="0.3">
      <c r="M17" s="6">
        <v>20711</v>
      </c>
      <c r="N17" s="9" t="s">
        <v>212</v>
      </c>
      <c r="O17" s="8">
        <v>43</v>
      </c>
      <c r="P17" s="1">
        <v>216</v>
      </c>
      <c r="Q17" s="9">
        <v>504</v>
      </c>
      <c r="R17" s="8">
        <v>32</v>
      </c>
      <c r="S17" s="9">
        <v>0</v>
      </c>
      <c r="T17" s="6">
        <f t="shared" si="0"/>
        <v>110.78400000000001</v>
      </c>
      <c r="U17" s="8">
        <v>3</v>
      </c>
      <c r="V17" s="1">
        <v>3</v>
      </c>
      <c r="W17" s="9">
        <v>2</v>
      </c>
      <c r="X17" s="8" t="s">
        <v>18</v>
      </c>
      <c r="Y17" s="1" t="s">
        <v>18</v>
      </c>
      <c r="Z17" s="9" t="s">
        <v>20</v>
      </c>
      <c r="AA17" s="6">
        <v>0</v>
      </c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V17" s="95" t="s">
        <v>198</v>
      </c>
      <c r="AW17" s="93">
        <f>IF(COUNTIF(Sheet1!D14:F14,"流星T3")&gt;0,计算过程!L6,IF(COUNTIF(Sheet1!D14:F14,"Ju-87 D-4T0")&gt;0,计算过程!L5,计算过程!L4))+IF(COUNTIF(Sheet1!G13:H14,"100/150号航空燃油T0")&gt;0,5,0)</f>
        <v>66</v>
      </c>
      <c r="AX17" s="93" t="s">
        <v>135</v>
      </c>
      <c r="AY17" s="94">
        <f>AW17*0.6</f>
        <v>39.6</v>
      </c>
      <c r="AZ17" s="206"/>
      <c r="BM17" s="1">
        <v>19902</v>
      </c>
      <c r="BN17" s="8" t="s">
        <v>333</v>
      </c>
      <c r="BO17" s="8">
        <v>60</v>
      </c>
      <c r="BP17" s="1">
        <v>298</v>
      </c>
      <c r="BQ17" s="9">
        <v>707</v>
      </c>
      <c r="BR17" s="8">
        <v>45</v>
      </c>
      <c r="BT17" s="159">
        <f t="shared" si="2"/>
        <v>154.602</v>
      </c>
    </row>
    <row r="18" spans="5:72" ht="14.4" thickBot="1" x14ac:dyDescent="0.3">
      <c r="I18" s="50"/>
      <c r="J18" s="7"/>
      <c r="K18" s="7"/>
      <c r="L18" s="7"/>
      <c r="M18" s="6">
        <v>30605</v>
      </c>
      <c r="N18" s="9" t="s">
        <v>246</v>
      </c>
      <c r="O18" s="8">
        <v>65</v>
      </c>
      <c r="P18" s="1">
        <v>324</v>
      </c>
      <c r="Q18" s="9">
        <v>771</v>
      </c>
      <c r="R18" s="8">
        <v>49</v>
      </c>
      <c r="S18" s="9">
        <v>5</v>
      </c>
      <c r="T18" s="6">
        <f t="shared" si="0"/>
        <v>167.976</v>
      </c>
      <c r="U18" s="8">
        <v>3</v>
      </c>
      <c r="V18" s="7">
        <v>3</v>
      </c>
      <c r="W18" s="9">
        <v>0</v>
      </c>
      <c r="X18" s="8" t="s">
        <v>247</v>
      </c>
      <c r="Y18" s="7" t="s">
        <v>248</v>
      </c>
      <c r="Z18" s="9" t="s">
        <v>249</v>
      </c>
      <c r="AA18" s="6">
        <v>0</v>
      </c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V18" s="95"/>
      <c r="AW18" s="93" t="s">
        <v>184</v>
      </c>
      <c r="AX18" s="93" t="s">
        <v>185</v>
      </c>
      <c r="AY18" s="93" t="s">
        <v>186</v>
      </c>
      <c r="AZ18" s="96" t="s">
        <v>187</v>
      </c>
      <c r="BH18" s="7"/>
      <c r="BM18" s="1">
        <v>20401</v>
      </c>
      <c r="BN18" s="8" t="s">
        <v>334</v>
      </c>
      <c r="BO18" s="8">
        <v>57</v>
      </c>
      <c r="BP18" s="1">
        <v>286</v>
      </c>
      <c r="BQ18" s="9">
        <v>674</v>
      </c>
      <c r="BR18" s="8">
        <v>43</v>
      </c>
      <c r="BT18" s="159">
        <f t="shared" si="2"/>
        <v>147.51400000000001</v>
      </c>
    </row>
    <row r="19" spans="5:72" ht="14.4" thickBot="1" x14ac:dyDescent="0.3">
      <c r="E19" s="50"/>
      <c r="F19" s="7"/>
      <c r="G19" s="7"/>
      <c r="H19" s="84"/>
      <c r="I19" s="50"/>
      <c r="J19" s="7"/>
      <c r="K19" s="7"/>
      <c r="L19" s="7"/>
      <c r="M19" s="6">
        <v>30607</v>
      </c>
      <c r="N19" s="9" t="s">
        <v>231</v>
      </c>
      <c r="O19" s="8">
        <v>69</v>
      </c>
      <c r="P19" s="1">
        <v>344</v>
      </c>
      <c r="Q19" s="9">
        <v>819</v>
      </c>
      <c r="R19" s="8">
        <v>52</v>
      </c>
      <c r="S19" s="9">
        <v>0</v>
      </c>
      <c r="T19" s="6">
        <f t="shared" si="0"/>
        <v>178.316</v>
      </c>
      <c r="U19" s="8">
        <v>3</v>
      </c>
      <c r="V19" s="7">
        <v>3</v>
      </c>
      <c r="W19" s="9">
        <v>0</v>
      </c>
      <c r="X19" s="8" t="s">
        <v>232</v>
      </c>
      <c r="Y19" s="7" t="s">
        <v>233</v>
      </c>
      <c r="Z19" s="9" t="s">
        <v>234</v>
      </c>
      <c r="AA19" s="6">
        <v>0</v>
      </c>
      <c r="AF19" s="204" t="s">
        <v>269</v>
      </c>
      <c r="AG19" s="38"/>
      <c r="AH19" s="43" t="s">
        <v>103</v>
      </c>
      <c r="AI19" s="45" t="s">
        <v>275</v>
      </c>
      <c r="AJ19" s="43" t="s">
        <v>104</v>
      </c>
      <c r="AK19" s="45" t="s">
        <v>275</v>
      </c>
      <c r="AL19" s="43" t="s">
        <v>105</v>
      </c>
      <c r="AM19" s="45" t="s">
        <v>275</v>
      </c>
      <c r="AN19" s="43" t="s">
        <v>106</v>
      </c>
      <c r="AO19" s="45" t="s">
        <v>275</v>
      </c>
      <c r="AP19" s="43" t="s">
        <v>107</v>
      </c>
      <c r="AQ19" s="45" t="s">
        <v>275</v>
      </c>
      <c r="AR19" s="43" t="s">
        <v>108</v>
      </c>
      <c r="AS19" s="45" t="s">
        <v>275</v>
      </c>
      <c r="AV19" s="49" t="s">
        <v>112</v>
      </c>
      <c r="AW19" s="56">
        <f>$AV$106</f>
        <v>-12.5</v>
      </c>
      <c r="AX19" s="14">
        <f>AW19-(-105)-$AZ$16</f>
        <v>67.5</v>
      </c>
      <c r="AY19" s="17">
        <f>AX19/AY17</f>
        <v>1.7045454545454546</v>
      </c>
      <c r="AZ19" s="2">
        <f>AY19+AZ16/18</f>
        <v>3.0934343434343434</v>
      </c>
      <c r="BM19" s="1">
        <v>20402</v>
      </c>
      <c r="BN19" s="8" t="s">
        <v>335</v>
      </c>
      <c r="BO19" s="8">
        <v>56</v>
      </c>
      <c r="BP19" s="1">
        <v>278</v>
      </c>
      <c r="BQ19" s="9">
        <v>660</v>
      </c>
      <c r="BR19" s="8">
        <v>42</v>
      </c>
      <c r="BT19" s="159">
        <f t="shared" si="2"/>
        <v>144.28199999999998</v>
      </c>
    </row>
    <row r="20" spans="5:72" x14ac:dyDescent="0.25">
      <c r="M20" s="6">
        <v>30701</v>
      </c>
      <c r="N20" s="9" t="s">
        <v>52</v>
      </c>
      <c r="O20" s="8">
        <v>48</v>
      </c>
      <c r="P20" s="1">
        <v>238</v>
      </c>
      <c r="Q20" s="9">
        <v>565</v>
      </c>
      <c r="R20" s="8">
        <v>36</v>
      </c>
      <c r="S20" s="9">
        <v>0</v>
      </c>
      <c r="T20" s="6">
        <f t="shared" si="0"/>
        <v>123.622</v>
      </c>
      <c r="U20" s="8">
        <v>3</v>
      </c>
      <c r="V20" s="1">
        <v>2</v>
      </c>
      <c r="W20" s="9">
        <v>3</v>
      </c>
      <c r="X20" s="8" t="s">
        <v>18</v>
      </c>
      <c r="Y20" s="1" t="s">
        <v>19</v>
      </c>
      <c r="Z20" s="9" t="s">
        <v>20</v>
      </c>
      <c r="AA20" s="6">
        <v>0.5</v>
      </c>
      <c r="AF20" s="205"/>
      <c r="AG20" s="45" t="str">
        <f>AH4</f>
        <v>奥古斯特·冯·帕塞瓦尔</v>
      </c>
      <c r="AH20" s="43">
        <f>IF($AH$10="是",AK16,AJ16)</f>
        <v>19.546616148677497</v>
      </c>
      <c r="AI20" s="51">
        <f>VLOOKUP(AH20,$AH$23:$AI$25,2,FALSE)</f>
        <v>19.546616148677497</v>
      </c>
      <c r="AJ20" s="43">
        <f>IF($AH$10="是",AK15+AK16,AJ16+AJ15)</f>
        <v>37.693232297354996</v>
      </c>
      <c r="AK20" s="89">
        <f>VLOOKUP(AJ20,$AJ$23:$AK$25,2,FALSE)</f>
        <v>37.693232297354996</v>
      </c>
      <c r="AL20" s="43">
        <f>IF($AH$10="是",AK15*2+AK16,AJ16+AJ15*2)</f>
        <v>55.839848446032491</v>
      </c>
      <c r="AM20" s="89">
        <f>VLOOKUP(AL20,$AL$23:$AM$25,2,FALSE)</f>
        <v>55.839848446032491</v>
      </c>
      <c r="AN20" s="43">
        <f>AL20+AJ15</f>
        <v>76.096536239905049</v>
      </c>
      <c r="AO20" s="89">
        <f>VLOOKUP(AN20,$AN$23:$AO$25,2,FALSE)</f>
        <v>76.320554030270856</v>
      </c>
      <c r="AP20" s="43">
        <f>AN20+AJ15</f>
        <v>96.353224033777593</v>
      </c>
      <c r="AQ20" s="89">
        <f>VLOOKUP(AP20,$AP$23:$AQ$25,2,FALSE)</f>
        <v>96.353224033777593</v>
      </c>
      <c r="AR20" s="43">
        <f>AP20+AJ15</f>
        <v>116.60991182765014</v>
      </c>
      <c r="AS20" s="89">
        <f>VLOOKUP(AR20,$AR$23:$AS$25,2,FALSE)</f>
        <v>116.60991182765014</v>
      </c>
      <c r="AV20" s="50" t="s">
        <v>113</v>
      </c>
      <c r="AW20" s="7">
        <f>$AV$107</f>
        <v>0</v>
      </c>
      <c r="AX20" s="1">
        <f>AW20-(-105)-$AZ$16</f>
        <v>80</v>
      </c>
      <c r="AY20" s="9">
        <f>AX20/AY17</f>
        <v>2.0202020202020203</v>
      </c>
      <c r="AZ20" s="6">
        <f>AY20+AZ16/18</f>
        <v>3.4090909090909092</v>
      </c>
      <c r="BM20" s="1">
        <v>20403</v>
      </c>
      <c r="BN20" s="8" t="s">
        <v>336</v>
      </c>
      <c r="BO20" s="8">
        <v>58</v>
      </c>
      <c r="BP20" s="1">
        <v>290</v>
      </c>
      <c r="BQ20" s="9">
        <v>685</v>
      </c>
      <c r="BR20" s="8">
        <v>44</v>
      </c>
      <c r="BT20" s="159">
        <f t="shared" si="2"/>
        <v>150.20999999999998</v>
      </c>
    </row>
    <row r="21" spans="5:72" ht="14.4" thickBot="1" x14ac:dyDescent="0.3">
      <c r="M21" s="6">
        <v>30702</v>
      </c>
      <c r="N21" s="9" t="s">
        <v>53</v>
      </c>
      <c r="O21" s="8">
        <v>48</v>
      </c>
      <c r="P21" s="1">
        <v>238</v>
      </c>
      <c r="Q21" s="9">
        <v>565</v>
      </c>
      <c r="R21" s="8">
        <v>36</v>
      </c>
      <c r="S21" s="9">
        <v>0</v>
      </c>
      <c r="T21" s="6">
        <f t="shared" si="0"/>
        <v>123.622</v>
      </c>
      <c r="U21" s="8">
        <v>3</v>
      </c>
      <c r="V21" s="1">
        <v>2</v>
      </c>
      <c r="W21" s="9">
        <v>3</v>
      </c>
      <c r="X21" s="8" t="s">
        <v>18</v>
      </c>
      <c r="Y21" s="1" t="s">
        <v>19</v>
      </c>
      <c r="Z21" s="9" t="s">
        <v>20</v>
      </c>
      <c r="AA21" s="6">
        <v>0.5</v>
      </c>
      <c r="AF21" s="205"/>
      <c r="AG21" s="38" t="str">
        <f>AM4</f>
        <v>彼得·史特拉塞</v>
      </c>
      <c r="AH21" s="44">
        <f>IF(AM10="否",AO16,AP16)</f>
        <v>19.675546073017426</v>
      </c>
      <c r="AI21" s="85">
        <f>VLOOKUP(AH21,$AH$23:$AI$25,2,FALSE)</f>
        <v>20.146616148677499</v>
      </c>
      <c r="AJ21" s="44">
        <f>IF(AM10="否",AO16+AO15,AP16+AP15)</f>
        <v>37.951092146034853</v>
      </c>
      <c r="AK21" s="52">
        <f>VLOOKUP(AJ21,$AJ$23:$AK$25,2,FALSE)</f>
        <v>38.293232297354997</v>
      </c>
      <c r="AL21" s="44">
        <f>IF(AM10="否",AO16+AO15*2,AP16+AP15*2)</f>
        <v>56.226638219052276</v>
      </c>
      <c r="AM21" s="52">
        <f>VLOOKUP(AL21,$AL$23:$AM$25,2,FALSE)</f>
        <v>56.439848446032492</v>
      </c>
      <c r="AN21" s="44">
        <f>AL21+AO15</f>
        <v>75.720554030270861</v>
      </c>
      <c r="AO21" s="52">
        <f>VLOOKUP(AN21,$AN$23:$AO$25,2,FALSE)</f>
        <v>75.720554030270861</v>
      </c>
      <c r="AP21" s="44">
        <f>AN21+AO15</f>
        <v>95.214469841489446</v>
      </c>
      <c r="AQ21" s="52">
        <f>VLOOKUP(AP21,$AP$23:$AQ$25,2,FALSE)</f>
        <v>95.214469841489446</v>
      </c>
      <c r="AR21" s="44">
        <f>AP21+AO15</f>
        <v>114.70838565270803</v>
      </c>
      <c r="AS21" s="52">
        <f>VLOOKUP(AR21,$AR$23:$AS$25,2,FALSE)</f>
        <v>114.70838565270803</v>
      </c>
      <c r="AV21" s="57" t="s">
        <v>114</v>
      </c>
      <c r="AW21" s="22">
        <f>$AV$108</f>
        <v>10</v>
      </c>
      <c r="AX21" s="13">
        <f>AW21-(-105)-$AZ$16</f>
        <v>90</v>
      </c>
      <c r="AY21" s="5">
        <f>AX21/AY17</f>
        <v>2.2727272727272725</v>
      </c>
      <c r="AZ21" s="48">
        <f>AY21+AZ16/18</f>
        <v>3.6616161616161613</v>
      </c>
      <c r="BM21" s="1">
        <v>20404</v>
      </c>
      <c r="BN21" s="8" t="s">
        <v>337</v>
      </c>
      <c r="BO21" s="8">
        <v>56</v>
      </c>
      <c r="BP21" s="1">
        <v>280</v>
      </c>
      <c r="BQ21" s="9">
        <v>658</v>
      </c>
      <c r="BR21" s="8">
        <v>42</v>
      </c>
      <c r="BT21" s="159">
        <f t="shared" si="2"/>
        <v>144.47999999999999</v>
      </c>
    </row>
    <row r="22" spans="5:72" ht="14.4" thickBot="1" x14ac:dyDescent="0.3">
      <c r="M22" s="6">
        <v>30703</v>
      </c>
      <c r="N22" s="9" t="s">
        <v>214</v>
      </c>
      <c r="O22" s="8">
        <v>45</v>
      </c>
      <c r="P22" s="1">
        <v>222</v>
      </c>
      <c r="Q22" s="9">
        <v>521</v>
      </c>
      <c r="R22" s="8">
        <v>33</v>
      </c>
      <c r="S22" s="9">
        <v>20</v>
      </c>
      <c r="T22" s="6">
        <f t="shared" si="0"/>
        <v>114.83800000000001</v>
      </c>
      <c r="U22" s="8">
        <v>3</v>
      </c>
      <c r="V22" s="1">
        <v>3</v>
      </c>
      <c r="W22" s="9">
        <v>2</v>
      </c>
      <c r="X22" s="8" t="s">
        <v>18</v>
      </c>
      <c r="Y22" s="1" t="s">
        <v>19</v>
      </c>
      <c r="Z22" s="9" t="s">
        <v>20</v>
      </c>
      <c r="AA22" s="6">
        <v>0</v>
      </c>
      <c r="AF22" s="205"/>
      <c r="AG22" s="46" t="str">
        <f>AR4</f>
        <v>翔鹤</v>
      </c>
      <c r="AH22" s="41">
        <f>IF(AR10="否",AT16,AU16)</f>
        <v>21.476451341014215</v>
      </c>
      <c r="AI22" s="74">
        <f>VLOOKUP(AH22,$AH$23:$AI$25,2,FALSE)</f>
        <v>21.476451341014215</v>
      </c>
      <c r="AJ22" s="41">
        <f>IF(AR10="否",AT16+AT15,AU16+AU15)</f>
        <v>41.552902682028432</v>
      </c>
      <c r="AK22" s="53">
        <f>VLOOKUP(AJ22,$AJ$23:$AK$25,2,FALSE)</f>
        <v>41.552902682028432</v>
      </c>
      <c r="AL22" s="41">
        <f>IF(AR10="否",AT16+AT15*2,AU16+AU15*2)</f>
        <v>61.629354023042637</v>
      </c>
      <c r="AM22" s="53">
        <f>VLOOKUP(AL22,$AL$23:$AM$25,2,FALSE)</f>
        <v>61.629354023042637</v>
      </c>
      <c r="AN22" s="41">
        <f>AL22+AT15</f>
        <v>83.936522179725102</v>
      </c>
      <c r="AO22" s="53">
        <f>VLOOKUP(AN22,$AN$23:$AO$25,2,FALSE)</f>
        <v>83.936522179725102</v>
      </c>
      <c r="AP22" s="41">
        <f>AN22+AT15</f>
        <v>106.24369033640755</v>
      </c>
      <c r="AQ22" s="53">
        <f>VLOOKUP(AP22,$AP$23:$AQ$25,2,FALSE)</f>
        <v>106.24369033640755</v>
      </c>
      <c r="AR22" s="41">
        <f>AP22+AT15</f>
        <v>128.55085849309</v>
      </c>
      <c r="AS22" s="53">
        <f>VLOOKUP(AR22,$AR$23:$AS$25,2,FALSE)</f>
        <v>128.55085849309</v>
      </c>
      <c r="BM22" s="1">
        <v>20501</v>
      </c>
      <c r="BN22" s="8" t="s">
        <v>338</v>
      </c>
      <c r="BO22" s="8">
        <v>53</v>
      </c>
      <c r="BP22" s="1">
        <v>266</v>
      </c>
      <c r="BQ22" s="9">
        <v>627</v>
      </c>
      <c r="BR22" s="8">
        <v>40</v>
      </c>
      <c r="BT22" s="159">
        <f t="shared" si="2"/>
        <v>137.19399999999999</v>
      </c>
    </row>
    <row r="23" spans="5:72" x14ac:dyDescent="0.25">
      <c r="M23" s="6">
        <v>30704</v>
      </c>
      <c r="N23" s="9" t="s">
        <v>213</v>
      </c>
      <c r="O23" s="8">
        <v>45</v>
      </c>
      <c r="P23" s="1">
        <v>222</v>
      </c>
      <c r="Q23" s="9">
        <v>521</v>
      </c>
      <c r="R23" s="8">
        <v>33</v>
      </c>
      <c r="S23" s="9">
        <v>20</v>
      </c>
      <c r="T23" s="6">
        <f t="shared" si="0"/>
        <v>114.83800000000001</v>
      </c>
      <c r="U23" s="8">
        <v>3</v>
      </c>
      <c r="V23" s="1">
        <v>2</v>
      </c>
      <c r="W23" s="9">
        <v>3</v>
      </c>
      <c r="X23" s="8" t="s">
        <v>18</v>
      </c>
      <c r="Y23" s="1" t="s">
        <v>19</v>
      </c>
      <c r="Z23" s="9" t="s">
        <v>20</v>
      </c>
      <c r="AA23" s="6">
        <v>0</v>
      </c>
      <c r="AF23" s="205"/>
      <c r="AG23" s="354" t="s">
        <v>178</v>
      </c>
      <c r="AH23" s="43">
        <f>MIN(AH20:AH22)</f>
        <v>19.546616148677497</v>
      </c>
      <c r="AI23" s="45">
        <f>AH23</f>
        <v>19.546616148677497</v>
      </c>
      <c r="AJ23" s="45">
        <f>MIN(AJ20:AJ22)</f>
        <v>37.693232297354996</v>
      </c>
      <c r="AK23" s="45">
        <f>AJ23</f>
        <v>37.693232297354996</v>
      </c>
      <c r="AL23" s="45">
        <f>MIN(AL20:AL22)</f>
        <v>55.839848446032491</v>
      </c>
      <c r="AM23" s="45">
        <f>AL23</f>
        <v>55.839848446032491</v>
      </c>
      <c r="AN23" s="45">
        <f>MIN(AN20:AN22)</f>
        <v>75.720554030270861</v>
      </c>
      <c r="AO23" s="45">
        <f>AN23</f>
        <v>75.720554030270861</v>
      </c>
      <c r="AP23" s="45">
        <f>MIN(AP20:AP22)</f>
        <v>95.214469841489446</v>
      </c>
      <c r="AQ23" s="45">
        <f>AP23</f>
        <v>95.214469841489446</v>
      </c>
      <c r="AR23" s="45">
        <f>MIN(AR20:AR22)</f>
        <v>114.70838565270803</v>
      </c>
      <c r="AS23" s="45">
        <f>AR23</f>
        <v>114.70838565270803</v>
      </c>
      <c r="BM23" s="1">
        <v>20502</v>
      </c>
      <c r="BN23" s="8" t="s">
        <v>339</v>
      </c>
      <c r="BO23" s="8">
        <v>58</v>
      </c>
      <c r="BP23" s="1">
        <v>290</v>
      </c>
      <c r="BQ23" s="9">
        <v>685</v>
      </c>
      <c r="BR23" s="8">
        <v>44</v>
      </c>
      <c r="BT23" s="159">
        <f t="shared" si="2"/>
        <v>150.20999999999998</v>
      </c>
    </row>
    <row r="24" spans="5:72" x14ac:dyDescent="0.25">
      <c r="M24" s="6">
        <v>30705</v>
      </c>
      <c r="N24" s="9" t="s">
        <v>54</v>
      </c>
      <c r="O24" s="8">
        <v>44</v>
      </c>
      <c r="P24" s="1">
        <v>220</v>
      </c>
      <c r="Q24" s="9">
        <v>515</v>
      </c>
      <c r="R24" s="8">
        <v>33</v>
      </c>
      <c r="S24" s="9">
        <v>0</v>
      </c>
      <c r="T24" s="6">
        <f t="shared" si="0"/>
        <v>113.48</v>
      </c>
      <c r="U24" s="8">
        <v>2</v>
      </c>
      <c r="V24" s="1">
        <v>2</v>
      </c>
      <c r="W24" s="9">
        <v>4</v>
      </c>
      <c r="X24" s="8" t="s">
        <v>18</v>
      </c>
      <c r="Y24" s="1" t="s">
        <v>19</v>
      </c>
      <c r="Z24" s="9" t="s">
        <v>20</v>
      </c>
      <c r="AA24" s="6">
        <v>0</v>
      </c>
      <c r="AF24" s="205"/>
      <c r="AG24" s="355"/>
      <c r="AH24" s="8">
        <f>SMALL(AH20:AH22,2)</f>
        <v>19.675546073017426</v>
      </c>
      <c r="AI24" s="38">
        <f>IF((AH24-AH23)&lt;$AN$1,(AH23+$AN$1),AH24)</f>
        <v>20.146616148677499</v>
      </c>
      <c r="AJ24" s="1">
        <f>SMALL(AJ20:AJ22,2)</f>
        <v>37.951092146034853</v>
      </c>
      <c r="AK24" s="38">
        <f>IF((AJ24-AJ23)&lt;$AN$1,(AJ23+$AN$1),AJ24)</f>
        <v>38.293232297354997</v>
      </c>
      <c r="AL24" s="1">
        <f>SMALL(AL20:AL22,2)</f>
        <v>56.226638219052276</v>
      </c>
      <c r="AM24" s="38">
        <f>IF((AL24-AL23)&lt;$AN$1,(AL23+$AN$1),AL24)</f>
        <v>56.439848446032492</v>
      </c>
      <c r="AN24" s="1">
        <f>SMALL(AN20:AN22,2)</f>
        <v>76.096536239905049</v>
      </c>
      <c r="AO24" s="38">
        <f>IF((AN24-AN23)&lt;$AN$1,(AN23+$AN$1),AN24)</f>
        <v>76.320554030270856</v>
      </c>
      <c r="AP24" s="1">
        <f>SMALL(AP20:AP22,2)</f>
        <v>96.353224033777593</v>
      </c>
      <c r="AQ24" s="38">
        <f>IF((AP24-AP23)&lt;$AN$1,(AP23+$AN$1),AP24)</f>
        <v>96.353224033777593</v>
      </c>
      <c r="AR24" s="1">
        <f>SMALL(AR20:AR22,2)</f>
        <v>116.60991182765014</v>
      </c>
      <c r="AS24" s="38">
        <f>IF((AR24-AR23)&lt;$AN$1,(AR23+$AN$1),AR24)</f>
        <v>116.60991182765014</v>
      </c>
      <c r="BM24" s="1">
        <v>20503</v>
      </c>
      <c r="BN24" s="8" t="s">
        <v>340</v>
      </c>
      <c r="BO24" s="8">
        <v>55</v>
      </c>
      <c r="BP24" s="1">
        <v>272</v>
      </c>
      <c r="BQ24" s="9">
        <v>643</v>
      </c>
      <c r="BR24" s="8">
        <v>41</v>
      </c>
      <c r="BT24" s="159">
        <f t="shared" si="2"/>
        <v>141.22800000000001</v>
      </c>
    </row>
    <row r="25" spans="5:72" ht="14.4" thickBot="1" x14ac:dyDescent="0.3">
      <c r="M25" s="6">
        <v>30706</v>
      </c>
      <c r="N25" s="1" t="s">
        <v>55</v>
      </c>
      <c r="O25" s="8">
        <v>44</v>
      </c>
      <c r="P25" s="1">
        <v>220</v>
      </c>
      <c r="Q25" s="9">
        <v>515</v>
      </c>
      <c r="R25" s="8">
        <v>33</v>
      </c>
      <c r="S25" s="9">
        <v>0</v>
      </c>
      <c r="T25" s="6">
        <f t="shared" si="0"/>
        <v>113.48</v>
      </c>
      <c r="U25" s="8">
        <v>2</v>
      </c>
      <c r="V25" s="1">
        <v>3</v>
      </c>
      <c r="W25" s="9">
        <v>3</v>
      </c>
      <c r="X25" s="8" t="s">
        <v>18</v>
      </c>
      <c r="Y25" s="1" t="s">
        <v>19</v>
      </c>
      <c r="Z25" s="9" t="s">
        <v>20</v>
      </c>
      <c r="AA25" s="6">
        <v>0</v>
      </c>
      <c r="AF25" s="206"/>
      <c r="AG25" s="356"/>
      <c r="AH25" s="41">
        <f>MAX(AH20:AH22)</f>
        <v>21.476451341014215</v>
      </c>
      <c r="AI25" s="46">
        <f>IF(AH25&lt;(AI24+$AN$1),(AI24+$AN$1),AH25)</f>
        <v>21.476451341014215</v>
      </c>
      <c r="AJ25" s="46">
        <f>MAX(AJ20:AJ22)</f>
        <v>41.552902682028432</v>
      </c>
      <c r="AK25" s="46">
        <f>IF(AJ25&lt;(AK24+$AN$1),(AK24+$AN$1),AJ25)</f>
        <v>41.552902682028432</v>
      </c>
      <c r="AL25" s="46">
        <f>MAX(AL20:AL22)</f>
        <v>61.629354023042637</v>
      </c>
      <c r="AM25" s="46">
        <f>IF(AL25&lt;(AM24+$AN$1),(AM24+$AN$1),AL25)</f>
        <v>61.629354023042637</v>
      </c>
      <c r="AN25" s="46">
        <f>MAX(AN20:AN22)</f>
        <v>83.936522179725102</v>
      </c>
      <c r="AO25" s="46">
        <f>IF(AN25&lt;(AO24+$AN$1),(AO24+$AN$1),AN25)</f>
        <v>83.936522179725102</v>
      </c>
      <c r="AP25" s="46">
        <f>MAX(AP20:AP22)</f>
        <v>106.24369033640755</v>
      </c>
      <c r="AQ25" s="46">
        <f>IF(AP25&lt;(AQ24+$AN$1),(AQ24+$AN$1),AP25)</f>
        <v>106.24369033640755</v>
      </c>
      <c r="AR25" s="46">
        <f>MAX(AR20:AR22)</f>
        <v>128.55085849309</v>
      </c>
      <c r="AS25" s="46">
        <f>IF(AR25&lt;(AS24+$AN$1),(AS24+$AN$1),AR25)</f>
        <v>128.55085849309</v>
      </c>
      <c r="BM25" s="1">
        <v>20504</v>
      </c>
      <c r="BN25" s="8" t="s">
        <v>341</v>
      </c>
      <c r="BO25" s="8">
        <v>55</v>
      </c>
      <c r="BP25" s="1">
        <v>272</v>
      </c>
      <c r="BQ25" s="9">
        <v>643</v>
      </c>
      <c r="BR25" s="8">
        <v>41</v>
      </c>
      <c r="BT25" s="159">
        <f t="shared" si="2"/>
        <v>141.22800000000001</v>
      </c>
    </row>
    <row r="26" spans="5:72" ht="14.4" thickBot="1" x14ac:dyDescent="0.3">
      <c r="M26" s="6">
        <v>30707</v>
      </c>
      <c r="N26" s="9" t="s">
        <v>51</v>
      </c>
      <c r="O26" s="8">
        <v>44</v>
      </c>
      <c r="P26" s="1">
        <v>220</v>
      </c>
      <c r="Q26" s="9">
        <v>515</v>
      </c>
      <c r="R26" s="8">
        <v>33</v>
      </c>
      <c r="S26" s="9">
        <v>0</v>
      </c>
      <c r="T26" s="6">
        <f t="shared" si="0"/>
        <v>113.48</v>
      </c>
      <c r="U26" s="8">
        <v>2</v>
      </c>
      <c r="V26" s="1">
        <v>3</v>
      </c>
      <c r="W26" s="9">
        <v>3</v>
      </c>
      <c r="X26" s="8" t="s">
        <v>18</v>
      </c>
      <c r="Y26" s="1" t="s">
        <v>19</v>
      </c>
      <c r="Z26" s="9" t="s">
        <v>20</v>
      </c>
      <c r="AA26" s="6">
        <v>0</v>
      </c>
      <c r="BM26" s="1">
        <v>20505</v>
      </c>
      <c r="BN26" s="8" t="s">
        <v>342</v>
      </c>
      <c r="BO26" s="8">
        <v>57</v>
      </c>
      <c r="BP26" s="1">
        <v>286</v>
      </c>
      <c r="BQ26" s="9">
        <v>674</v>
      </c>
      <c r="BR26" s="8">
        <v>43</v>
      </c>
      <c r="BT26" s="159">
        <f t="shared" si="2"/>
        <v>147.51400000000001</v>
      </c>
    </row>
    <row r="27" spans="5:72" ht="14.4" thickBot="1" x14ac:dyDescent="0.3">
      <c r="M27" s="6">
        <v>30708</v>
      </c>
      <c r="N27" s="9" t="s">
        <v>50</v>
      </c>
      <c r="O27" s="8">
        <v>46</v>
      </c>
      <c r="P27" s="1">
        <v>230</v>
      </c>
      <c r="Q27" s="9">
        <v>543</v>
      </c>
      <c r="R27" s="8">
        <v>35</v>
      </c>
      <c r="S27" s="9">
        <v>0</v>
      </c>
      <c r="T27" s="6">
        <f t="shared" si="0"/>
        <v>119.23</v>
      </c>
      <c r="U27" s="8">
        <v>2</v>
      </c>
      <c r="V27" s="1">
        <v>3</v>
      </c>
      <c r="W27" s="9">
        <v>4</v>
      </c>
      <c r="X27" s="50" t="s">
        <v>22</v>
      </c>
      <c r="Y27" s="1" t="s">
        <v>19</v>
      </c>
      <c r="Z27" s="9" t="s">
        <v>2</v>
      </c>
      <c r="AA27" s="6">
        <v>0</v>
      </c>
      <c r="AF27" s="204" t="s">
        <v>267</v>
      </c>
      <c r="AG27" s="97"/>
      <c r="AH27" s="43" t="s">
        <v>103</v>
      </c>
      <c r="AI27" s="45" t="s">
        <v>109</v>
      </c>
      <c r="AJ27" s="39" t="s">
        <v>110</v>
      </c>
      <c r="AK27" s="43" t="s">
        <v>104</v>
      </c>
      <c r="AL27" s="45" t="s">
        <v>109</v>
      </c>
      <c r="AM27" s="39" t="s">
        <v>110</v>
      </c>
      <c r="AN27" s="43" t="s">
        <v>105</v>
      </c>
      <c r="AO27" s="45" t="s">
        <v>109</v>
      </c>
      <c r="AP27" s="39" t="s">
        <v>110</v>
      </c>
      <c r="AQ27" s="43" t="s">
        <v>106</v>
      </c>
      <c r="AR27" s="45" t="s">
        <v>109</v>
      </c>
      <c r="AS27" s="39" t="s">
        <v>110</v>
      </c>
      <c r="AT27" s="43" t="s">
        <v>107</v>
      </c>
      <c r="AU27" s="45" t="s">
        <v>109</v>
      </c>
      <c r="AV27" s="39" t="s">
        <v>110</v>
      </c>
      <c r="AW27" s="43" t="s">
        <v>108</v>
      </c>
      <c r="AX27" s="45" t="s">
        <v>109</v>
      </c>
      <c r="AY27" s="39" t="s">
        <v>110</v>
      </c>
      <c r="BM27" s="1">
        <v>20506</v>
      </c>
      <c r="BN27" s="8" t="s">
        <v>343</v>
      </c>
      <c r="BO27" s="8">
        <v>57</v>
      </c>
      <c r="BP27" s="1">
        <v>286</v>
      </c>
      <c r="BQ27" s="9">
        <v>674</v>
      </c>
      <c r="BR27" s="8">
        <v>43</v>
      </c>
      <c r="BT27" s="159">
        <f t="shared" si="2"/>
        <v>147.51400000000001</v>
      </c>
    </row>
    <row r="28" spans="5:72" ht="14.4" thickBot="1" x14ac:dyDescent="0.3">
      <c r="M28" s="6">
        <v>30709</v>
      </c>
      <c r="N28" s="9" t="s">
        <v>235</v>
      </c>
      <c r="O28" s="8">
        <v>46</v>
      </c>
      <c r="P28" s="1">
        <v>228</v>
      </c>
      <c r="Q28" s="9">
        <v>537</v>
      </c>
      <c r="R28" s="8">
        <v>34</v>
      </c>
      <c r="S28" s="9">
        <v>0</v>
      </c>
      <c r="T28" s="6">
        <f t="shared" si="0"/>
        <v>117.872</v>
      </c>
      <c r="U28" s="8">
        <v>3</v>
      </c>
      <c r="V28" s="7">
        <v>2</v>
      </c>
      <c r="W28" s="9">
        <v>3</v>
      </c>
      <c r="X28" s="8" t="s">
        <v>0</v>
      </c>
      <c r="Y28" s="1" t="s">
        <v>1</v>
      </c>
      <c r="Z28" s="9" t="s">
        <v>2</v>
      </c>
      <c r="AA28" s="6">
        <v>0</v>
      </c>
      <c r="AF28" s="205"/>
      <c r="AG28" s="153" t="str">
        <f>AH4</f>
        <v>奥古斯特·冯·帕塞瓦尔</v>
      </c>
      <c r="AH28" s="43">
        <f>AI20</f>
        <v>19.546616148677497</v>
      </c>
      <c r="AI28" s="51">
        <f>AH28+VLOOKUP(Sheet1!$E$19,$BA$7:$BD$9,4,FALSE)</f>
        <v>22.285505037566388</v>
      </c>
      <c r="AJ28" s="39">
        <f>AI28+8</f>
        <v>30.285505037566388</v>
      </c>
      <c r="AK28" s="43">
        <f>AK20</f>
        <v>37.693232297354996</v>
      </c>
      <c r="AL28" s="51">
        <f>AK28+VLOOKUP(Sheet1!$E$19,$BA$7:$BD$9,4,FALSE)</f>
        <v>40.432121186243883</v>
      </c>
      <c r="AM28" s="39">
        <f>AL28+8</f>
        <v>48.432121186243883</v>
      </c>
      <c r="AN28" s="43">
        <f>AM20</f>
        <v>55.839848446032491</v>
      </c>
      <c r="AO28" s="51">
        <f>AN28+VLOOKUP(Sheet1!$E$19,$BA$7:$BD$9,4,FALSE)</f>
        <v>58.578737334921378</v>
      </c>
      <c r="AP28" s="39">
        <f>AO28+8</f>
        <v>66.578737334921385</v>
      </c>
      <c r="AQ28" s="43">
        <f>AO20</f>
        <v>76.320554030270856</v>
      </c>
      <c r="AR28" s="51">
        <f>AQ28+VLOOKUP(Sheet1!$E$19,$BA$7:$BD$9,4,FALSE)</f>
        <v>79.05944291915975</v>
      </c>
      <c r="AS28" s="39">
        <f>AR28+8</f>
        <v>87.05944291915975</v>
      </c>
      <c r="AT28" s="43">
        <f>AQ20</f>
        <v>96.353224033777593</v>
      </c>
      <c r="AU28" s="51">
        <f>AT28+VLOOKUP(Sheet1!$E$19,$BA$7:$BD$9,4,FALSE)</f>
        <v>99.092112922666487</v>
      </c>
      <c r="AV28" s="39">
        <f>AU28+8</f>
        <v>107.09211292266649</v>
      </c>
      <c r="AW28" s="43">
        <f>AS20</f>
        <v>116.60991182765014</v>
      </c>
      <c r="AX28" s="51">
        <f>AW28+VLOOKUP(Sheet1!$E$19,$BA$7:$BD$9,4,FALSE)</f>
        <v>119.34880071653903</v>
      </c>
      <c r="AY28" s="39">
        <f>AX28+8</f>
        <v>127.34880071653903</v>
      </c>
      <c r="BM28" s="1">
        <v>20507</v>
      </c>
      <c r="BN28" s="8" t="s">
        <v>344</v>
      </c>
      <c r="BO28" s="8">
        <v>56</v>
      </c>
      <c r="BP28" s="1">
        <v>280</v>
      </c>
      <c r="BQ28" s="9">
        <v>658</v>
      </c>
      <c r="BR28" s="8">
        <v>42</v>
      </c>
      <c r="BT28" s="159">
        <f t="shared" si="2"/>
        <v>144.47999999999999</v>
      </c>
    </row>
    <row r="29" spans="5:72" ht="14.4" thickBot="1" x14ac:dyDescent="0.3">
      <c r="M29" s="6">
        <v>30710</v>
      </c>
      <c r="N29" s="9" t="s">
        <v>210</v>
      </c>
      <c r="O29" s="8">
        <v>48</v>
      </c>
      <c r="P29" s="1">
        <v>238</v>
      </c>
      <c r="Q29" s="9">
        <v>565</v>
      </c>
      <c r="R29" s="8">
        <v>36</v>
      </c>
      <c r="S29" s="9">
        <v>0</v>
      </c>
      <c r="T29" s="6">
        <f t="shared" si="0"/>
        <v>123.622</v>
      </c>
      <c r="U29" s="8">
        <v>3</v>
      </c>
      <c r="V29" s="1">
        <v>2</v>
      </c>
      <c r="W29" s="9">
        <v>3</v>
      </c>
      <c r="X29" s="8" t="s">
        <v>18</v>
      </c>
      <c r="Y29" s="1" t="s">
        <v>19</v>
      </c>
      <c r="Z29" s="9" t="s">
        <v>20</v>
      </c>
      <c r="AA29" s="6">
        <v>0.4</v>
      </c>
      <c r="AF29" s="205"/>
      <c r="AG29" s="38"/>
      <c r="AH29" s="86" t="s">
        <v>175</v>
      </c>
      <c r="AI29" s="87" t="s">
        <v>189</v>
      </c>
      <c r="AJ29" s="88" t="s">
        <v>190</v>
      </c>
      <c r="AK29" s="86" t="s">
        <v>176</v>
      </c>
      <c r="AL29" s="87" t="s">
        <v>189</v>
      </c>
      <c r="AM29" s="88" t="s">
        <v>190</v>
      </c>
      <c r="AN29" s="86" t="s">
        <v>177</v>
      </c>
      <c r="AO29" s="87" t="s">
        <v>189</v>
      </c>
      <c r="AP29" s="88" t="s">
        <v>190</v>
      </c>
      <c r="AQ29" s="86" t="s">
        <v>71</v>
      </c>
      <c r="AR29" s="87" t="s">
        <v>189</v>
      </c>
      <c r="AS29" s="88" t="s">
        <v>190</v>
      </c>
      <c r="AT29" s="86" t="s">
        <v>72</v>
      </c>
      <c r="AU29" s="87" t="s">
        <v>189</v>
      </c>
      <c r="AV29" s="88" t="s">
        <v>190</v>
      </c>
      <c r="AW29" s="86" t="s">
        <v>73</v>
      </c>
      <c r="AX29" s="87" t="s">
        <v>189</v>
      </c>
      <c r="AY29" s="88" t="s">
        <v>190</v>
      </c>
      <c r="BM29" s="1">
        <v>20509</v>
      </c>
      <c r="BN29" s="8" t="s">
        <v>345</v>
      </c>
      <c r="BO29" s="8">
        <v>58</v>
      </c>
      <c r="BP29" s="1">
        <v>290</v>
      </c>
      <c r="BQ29" s="9">
        <v>685</v>
      </c>
      <c r="BR29" s="8">
        <v>44</v>
      </c>
      <c r="BT29" s="159">
        <f t="shared" si="2"/>
        <v>150.20999999999998</v>
      </c>
    </row>
    <row r="30" spans="5:72" x14ac:dyDescent="0.25">
      <c r="M30" s="6">
        <v>30711</v>
      </c>
      <c r="N30" s="9" t="s">
        <v>211</v>
      </c>
      <c r="O30" s="8">
        <v>44</v>
      </c>
      <c r="P30" s="1">
        <v>220</v>
      </c>
      <c r="Q30" s="9">
        <v>515</v>
      </c>
      <c r="R30" s="8">
        <v>33</v>
      </c>
      <c r="S30" s="9">
        <v>0</v>
      </c>
      <c r="T30" s="6">
        <f t="shared" si="0"/>
        <v>113.48</v>
      </c>
      <c r="U30" s="8">
        <v>2</v>
      </c>
      <c r="V30" s="1">
        <v>3</v>
      </c>
      <c r="W30" s="9">
        <v>3</v>
      </c>
      <c r="X30" s="8" t="s">
        <v>18</v>
      </c>
      <c r="Y30" s="1" t="s">
        <v>19</v>
      </c>
      <c r="Z30" s="9" t="s">
        <v>20</v>
      </c>
      <c r="AA30" s="6">
        <v>0</v>
      </c>
      <c r="AF30" s="205"/>
      <c r="AG30" s="39" t="str">
        <f>AG28</f>
        <v>奥古斯特·冯·帕塞瓦尔</v>
      </c>
      <c r="AH30" s="43">
        <f>AH28</f>
        <v>19.546616148677497</v>
      </c>
      <c r="AI30" s="45">
        <f>AH30+VLOOKUP(Sheet1!$E$19,$AV$7:$AY$9,4,FALSE)</f>
        <v>22.098699482010829</v>
      </c>
      <c r="AJ30" s="89">
        <f>AH30+VLOOKUP(Sheet1!$E$19,$AV$7:$AZ$9,5,FALSE)</f>
        <v>23.154255037566386</v>
      </c>
      <c r="AK30" s="44">
        <f>AK28</f>
        <v>37.693232297354996</v>
      </c>
      <c r="AL30" s="45">
        <f>AK30+VLOOKUP(Sheet1!$E$19,$AV$7:$AY$9,4,FALSE)</f>
        <v>40.245315630688332</v>
      </c>
      <c r="AM30" s="89">
        <f>AK30+VLOOKUP(Sheet1!$E$19,$AV$7:$AZ$9,5,FALSE)</f>
        <v>41.300871186243882</v>
      </c>
      <c r="AN30" s="44">
        <f>AN28</f>
        <v>55.839848446032491</v>
      </c>
      <c r="AO30" s="45">
        <f>AN30+VLOOKUP(Sheet1!$E$19,$AV$7:$AY$9,4,FALSE)</f>
        <v>58.391931779365827</v>
      </c>
      <c r="AP30" s="89">
        <f>AN30+VLOOKUP(Sheet1!$E$19,$AV$7:$AZ$9,5,FALSE)</f>
        <v>59.447487334921377</v>
      </c>
      <c r="AQ30" s="44">
        <f>AQ28</f>
        <v>76.320554030270856</v>
      </c>
      <c r="AR30" s="45">
        <f>AQ30+VLOOKUP(Sheet1!$E$19,$AV$7:$AY$9,4,FALSE)</f>
        <v>78.872637363604184</v>
      </c>
      <c r="AS30" s="89">
        <f>AQ30+VLOOKUP(Sheet1!$E$19,$AV$7:$AZ$9,5,FALSE)</f>
        <v>79.928192919159741</v>
      </c>
      <c r="AT30" s="44">
        <f>AT28</f>
        <v>96.353224033777593</v>
      </c>
      <c r="AU30" s="45">
        <f>AT30+VLOOKUP(Sheet1!$E$19,$AV$7:$AY$9,4,FALSE)</f>
        <v>98.905307367110922</v>
      </c>
      <c r="AV30" s="89">
        <f>AT30+VLOOKUP(Sheet1!$E$19,$AV$7:$AZ$9,5,FALSE)</f>
        <v>99.960862922666479</v>
      </c>
      <c r="AW30" s="44">
        <f>AW28</f>
        <v>116.60991182765014</v>
      </c>
      <c r="AX30" s="45">
        <f>AW30+VLOOKUP(Sheet1!$E$19,$AV$7:$AY$9,4,FALSE)</f>
        <v>119.16199516098347</v>
      </c>
      <c r="AY30" s="89">
        <f>AW30+VLOOKUP(Sheet1!$E$19,$AV$7:$AZ$9,5,FALSE)</f>
        <v>120.21755071653902</v>
      </c>
      <c r="BM30" s="1">
        <v>20510</v>
      </c>
      <c r="BN30" s="8" t="s">
        <v>346</v>
      </c>
      <c r="BO30" s="8">
        <v>55</v>
      </c>
      <c r="BP30" s="1">
        <v>276</v>
      </c>
      <c r="BQ30" s="9">
        <v>647</v>
      </c>
      <c r="BR30" s="8">
        <v>41</v>
      </c>
      <c r="BT30" s="159">
        <f t="shared" si="2"/>
        <v>141.78399999999999</v>
      </c>
    </row>
    <row r="31" spans="5:72" x14ac:dyDescent="0.25">
      <c r="M31" s="6">
        <v>39905</v>
      </c>
      <c r="N31" s="9" t="s">
        <v>433</v>
      </c>
      <c r="O31" s="8">
        <v>46</v>
      </c>
      <c r="P31" s="7">
        <v>230</v>
      </c>
      <c r="Q31" s="9">
        <v>543</v>
      </c>
      <c r="R31" s="8">
        <v>35</v>
      </c>
      <c r="S31" s="9">
        <v>0</v>
      </c>
      <c r="T31" s="6">
        <f t="shared" si="0"/>
        <v>119.23</v>
      </c>
      <c r="U31" s="8">
        <v>3</v>
      </c>
      <c r="V31" s="7">
        <v>4</v>
      </c>
      <c r="W31" s="9">
        <v>2</v>
      </c>
      <c r="X31" s="8" t="s">
        <v>438</v>
      </c>
      <c r="Y31" s="7" t="s">
        <v>436</v>
      </c>
      <c r="Z31" s="9" t="s">
        <v>437</v>
      </c>
      <c r="AA31" s="6">
        <v>0</v>
      </c>
      <c r="AF31" s="205"/>
      <c r="AG31" s="40" t="str">
        <f>AM4</f>
        <v>彼得·史特拉塞</v>
      </c>
      <c r="AH31" s="44">
        <f>AI21</f>
        <v>20.146616148677499</v>
      </c>
      <c r="AI31" s="38">
        <f>AH31+VLOOKUP(Sheet1!$E$19,$AV$13:$AY$15,4,FALSE)</f>
        <v>22.698699482010831</v>
      </c>
      <c r="AJ31" s="52">
        <f>AH31+VLOOKUP(Sheet1!$E$19,$AV$13:$AZ$15,5,FALSE)</f>
        <v>23.754255037566388</v>
      </c>
      <c r="AK31" s="44">
        <f>AK21</f>
        <v>38.293232297354997</v>
      </c>
      <c r="AL31" s="38">
        <f>AK31+VLOOKUP(Sheet1!$E$19,$AV$13:$AY$15,4,FALSE)</f>
        <v>40.845315630688333</v>
      </c>
      <c r="AM31" s="52">
        <f>AK31+VLOOKUP(Sheet1!$E$19,$AV$13:$AZ$15,5,FALSE)</f>
        <v>41.90087118624389</v>
      </c>
      <c r="AN31" s="44">
        <f>AM21</f>
        <v>56.439848446032492</v>
      </c>
      <c r="AO31" s="38">
        <f>AN31+VLOOKUP(Sheet1!$E$19,$AV$13:$AY$15,4,FALSE)</f>
        <v>58.991931779365828</v>
      </c>
      <c r="AP31" s="52">
        <f>AN31+VLOOKUP(Sheet1!$E$19,$AV$13:$AZ$15,5,FALSE)</f>
        <v>60.047487334921385</v>
      </c>
      <c r="AQ31" s="44">
        <f>AO21</f>
        <v>75.720554030270861</v>
      </c>
      <c r="AR31" s="38">
        <f>AQ31+VLOOKUP(Sheet1!$E$19,$AV$13:$AY$15,4,FALSE)</f>
        <v>78.27263736360419</v>
      </c>
      <c r="AS31" s="52">
        <f>AQ31+VLOOKUP(Sheet1!$E$19,$AV$13:$AZ$15,5,FALSE)</f>
        <v>79.328192919159747</v>
      </c>
      <c r="AT31" s="44">
        <f>AQ21</f>
        <v>95.214469841489446</v>
      </c>
      <c r="AU31" s="38">
        <f>AT31+VLOOKUP(Sheet1!$E$19,$AV$13:$AY$15,4,FALSE)</f>
        <v>97.766553174822775</v>
      </c>
      <c r="AV31" s="52">
        <f>AT31+VLOOKUP(Sheet1!$E$19,$AV$13:$AZ$15,5,FALSE)</f>
        <v>98.822108730378332</v>
      </c>
      <c r="AW31" s="44">
        <f>AS21</f>
        <v>114.70838565270803</v>
      </c>
      <c r="AX31" s="38">
        <f>AW31+VLOOKUP(Sheet1!$E$19,$AV$13:$AY$15,4,FALSE)</f>
        <v>117.26046898604136</v>
      </c>
      <c r="AY31" s="52">
        <f>AW31+VLOOKUP(Sheet1!$E$19,$AV$13:$AZ$15,5,FALSE)</f>
        <v>118.31602454159692</v>
      </c>
      <c r="BM31" s="1">
        <v>20512</v>
      </c>
      <c r="BN31" s="8" t="s">
        <v>347</v>
      </c>
      <c r="BO31" s="8">
        <v>58</v>
      </c>
      <c r="BP31" s="1">
        <v>290</v>
      </c>
      <c r="BQ31" s="9">
        <v>685</v>
      </c>
      <c r="BR31" s="8">
        <v>44</v>
      </c>
      <c r="BS31" s="1">
        <v>20</v>
      </c>
      <c r="BT31" s="159">
        <f t="shared" si="2"/>
        <v>150.20999999999998</v>
      </c>
    </row>
    <row r="32" spans="5:72" ht="14.4" thickBot="1" x14ac:dyDescent="0.3">
      <c r="M32" s="6">
        <v>40701</v>
      </c>
      <c r="N32" s="58" t="s">
        <v>86</v>
      </c>
      <c r="O32" s="8">
        <v>47</v>
      </c>
      <c r="P32" s="1">
        <v>232</v>
      </c>
      <c r="Q32" s="9">
        <v>548</v>
      </c>
      <c r="R32" s="8">
        <v>35</v>
      </c>
      <c r="S32" s="9">
        <v>0</v>
      </c>
      <c r="T32" s="6">
        <f t="shared" si="0"/>
        <v>120.56800000000001</v>
      </c>
      <c r="U32" s="8">
        <v>2</v>
      </c>
      <c r="V32" s="1">
        <v>3</v>
      </c>
      <c r="W32" s="9">
        <v>3</v>
      </c>
      <c r="X32" s="8" t="s">
        <v>0</v>
      </c>
      <c r="Y32" s="1" t="s">
        <v>1</v>
      </c>
      <c r="Z32" s="9" t="s">
        <v>85</v>
      </c>
      <c r="AA32" s="6">
        <v>0</v>
      </c>
      <c r="AF32" s="206"/>
      <c r="AG32" s="42" t="str">
        <f>AR4</f>
        <v>翔鹤</v>
      </c>
      <c r="AH32" s="41">
        <f>AI22</f>
        <v>21.476451341014215</v>
      </c>
      <c r="AI32" s="46">
        <f>AH32+VLOOKUP(Sheet1!$E$19,$AV$19:$AY$21,4,FALSE)</f>
        <v>23.180996795559668</v>
      </c>
      <c r="AJ32" s="53">
        <f>AH32+VLOOKUP(Sheet1!$E$19,$AV$19:$AZ$21,5,FALSE)</f>
        <v>24.569885684448558</v>
      </c>
      <c r="AK32" s="41">
        <f>AK22</f>
        <v>41.552902682028432</v>
      </c>
      <c r="AL32" s="46">
        <f>AK32+VLOOKUP(Sheet1!$E$19,$AV$19:$AY$21,4,FALSE)</f>
        <v>43.257448136573885</v>
      </c>
      <c r="AM32" s="53">
        <f>AK32+VLOOKUP(Sheet1!$E$19,$AV$19:$AZ$21,5,FALSE)</f>
        <v>44.646337025462778</v>
      </c>
      <c r="AN32" s="41">
        <f>AM22</f>
        <v>61.629354023042637</v>
      </c>
      <c r="AO32" s="46">
        <f>AN32+VLOOKUP(Sheet1!$E$19,$AV$19:$AY$21,4,FALSE)</f>
        <v>63.333899477588091</v>
      </c>
      <c r="AP32" s="53">
        <f>AN32+VLOOKUP(Sheet1!$E$19,$AV$19:$AZ$21,5,FALSE)</f>
        <v>64.722788366476976</v>
      </c>
      <c r="AQ32" s="41">
        <f>AO22</f>
        <v>83.936522179725102</v>
      </c>
      <c r="AR32" s="46">
        <f>AQ32+VLOOKUP(Sheet1!$E$19,$AV$19:$AY$21,4,FALSE)</f>
        <v>85.641067634270556</v>
      </c>
      <c r="AS32" s="53">
        <f>AQ32+VLOOKUP(Sheet1!$E$19,$AV$19:$AZ$21,5,FALSE)</f>
        <v>87.029956523159441</v>
      </c>
      <c r="AT32" s="41">
        <f>AQ22</f>
        <v>106.24369033640755</v>
      </c>
      <c r="AU32" s="46">
        <f>AT32+VLOOKUP(Sheet1!$E$19,$AV$19:$AY$21,4,FALSE)</f>
        <v>107.94823579095301</v>
      </c>
      <c r="AV32" s="53">
        <f>AT32+VLOOKUP(Sheet1!$E$19,$AV$19:$AZ$21,5,FALSE)</f>
        <v>109.33712467984189</v>
      </c>
      <c r="AW32" s="41">
        <f>AS22</f>
        <v>128.55085849309</v>
      </c>
      <c r="AX32" s="46">
        <f>AW32+VLOOKUP(Sheet1!$E$19,$AV$19:$AY$21,4,FALSE)</f>
        <v>130.25540394763547</v>
      </c>
      <c r="AY32" s="53">
        <f>AW32+VLOOKUP(Sheet1!$E$19,$AV$19:$AZ$21,5,FALSE)</f>
        <v>131.64429283652436</v>
      </c>
      <c r="BM32" s="1">
        <v>29902</v>
      </c>
      <c r="BN32" s="8" t="s">
        <v>348</v>
      </c>
      <c r="BO32" s="8">
        <v>62</v>
      </c>
      <c r="BP32" s="1">
        <v>308</v>
      </c>
      <c r="BQ32" s="9">
        <v>727</v>
      </c>
      <c r="BR32" s="8">
        <v>46</v>
      </c>
      <c r="BT32" s="159">
        <f t="shared" si="2"/>
        <v>159.19200000000001</v>
      </c>
    </row>
    <row r="33" spans="13:73" ht="14.4" customHeight="1" thickBot="1" x14ac:dyDescent="0.3">
      <c r="M33" s="6">
        <v>40703</v>
      </c>
      <c r="N33" s="58" t="s">
        <v>216</v>
      </c>
      <c r="O33" s="8">
        <v>51</v>
      </c>
      <c r="P33" s="1">
        <v>254</v>
      </c>
      <c r="Q33" s="9">
        <v>601</v>
      </c>
      <c r="R33" s="8">
        <v>38</v>
      </c>
      <c r="S33" s="9">
        <v>0</v>
      </c>
      <c r="T33" s="6">
        <f t="shared" si="0"/>
        <v>131.24599999999998</v>
      </c>
      <c r="U33" s="8">
        <v>2</v>
      </c>
      <c r="V33" s="1">
        <v>3</v>
      </c>
      <c r="W33" s="9">
        <v>3</v>
      </c>
      <c r="X33" s="8" t="s">
        <v>0</v>
      </c>
      <c r="Y33" s="1" t="s">
        <v>1</v>
      </c>
      <c r="Z33" s="9" t="s">
        <v>2</v>
      </c>
      <c r="AA33" s="6">
        <v>0</v>
      </c>
      <c r="AF33" s="204" t="s">
        <v>262</v>
      </c>
      <c r="AG33" s="78" t="s">
        <v>133</v>
      </c>
      <c r="AH33" s="43">
        <f>AH41</f>
        <v>4</v>
      </c>
      <c r="AI33" s="45">
        <f>AH33+$AI$41+$AK$41</f>
        <v>12.866666666666667</v>
      </c>
      <c r="AJ33" s="45">
        <f>AI33+$AL$41</f>
        <v>15.866666666666667</v>
      </c>
      <c r="AK33" s="51">
        <f>AJ33+$AI$41+$AK$41</f>
        <v>24.733333333333334</v>
      </c>
      <c r="AL33" s="51">
        <f>AK33+$AL$41</f>
        <v>27.733333333333334</v>
      </c>
      <c r="AM33" s="45">
        <f>AL33+$AI$41+$AK$41</f>
        <v>36.6</v>
      </c>
      <c r="AN33" s="45">
        <f>AM33+$AL$41</f>
        <v>39.6</v>
      </c>
      <c r="AO33" s="51">
        <f>AN33+$AI$41+$AK$41</f>
        <v>48.466666666666669</v>
      </c>
      <c r="AP33" s="51">
        <f>AO33+$AL$41</f>
        <v>51.466666666666669</v>
      </c>
      <c r="AQ33" s="45">
        <f>AP33+$AI$41+$AK$41</f>
        <v>60.333333333333336</v>
      </c>
      <c r="AR33" s="45">
        <f>AQ33+$AL$41</f>
        <v>63.333333333333336</v>
      </c>
      <c r="AS33" s="51">
        <f>AR33+$AI$41+$AK$41</f>
        <v>72.2</v>
      </c>
      <c r="AT33" s="51">
        <f>AS33+$AL$41</f>
        <v>75.2</v>
      </c>
      <c r="AU33" s="79">
        <f>AT33+$AI$41+$AK$41</f>
        <v>84.066666666666663</v>
      </c>
      <c r="AV33" s="79">
        <f>AU33+$AL$41</f>
        <v>87.066666666666663</v>
      </c>
      <c r="AW33" s="80">
        <f>AV33+$AI$41+$AK$41</f>
        <v>95.933333333333323</v>
      </c>
      <c r="AX33" s="81">
        <f>AW33+$AL$41</f>
        <v>98.933333333333323</v>
      </c>
      <c r="BM33" s="1">
        <v>30401</v>
      </c>
      <c r="BN33" s="8" t="s">
        <v>349</v>
      </c>
      <c r="BO33" s="8">
        <v>58</v>
      </c>
      <c r="BP33" s="1">
        <v>290</v>
      </c>
      <c r="BQ33" s="9">
        <v>685</v>
      </c>
      <c r="BR33" s="8">
        <v>44</v>
      </c>
      <c r="BT33" s="159">
        <f t="shared" si="2"/>
        <v>150.20999999999998</v>
      </c>
    </row>
    <row r="34" spans="13:73" ht="14.4" thickBot="1" x14ac:dyDescent="0.3">
      <c r="M34" s="6">
        <v>49906</v>
      </c>
      <c r="N34" s="9" t="s">
        <v>435</v>
      </c>
      <c r="O34" s="8">
        <v>44</v>
      </c>
      <c r="P34" s="7">
        <v>220</v>
      </c>
      <c r="Q34" s="9">
        <v>515</v>
      </c>
      <c r="R34" s="8">
        <v>33</v>
      </c>
      <c r="S34" s="9">
        <v>0</v>
      </c>
      <c r="T34" s="6">
        <f t="shared" si="0"/>
        <v>113.48</v>
      </c>
      <c r="U34" s="8">
        <v>2</v>
      </c>
      <c r="V34" s="7">
        <v>3</v>
      </c>
      <c r="W34" s="9">
        <v>3</v>
      </c>
      <c r="X34" s="8" t="s">
        <v>49</v>
      </c>
      <c r="Y34" s="1" t="s">
        <v>84</v>
      </c>
      <c r="Z34" s="9" t="s">
        <v>48</v>
      </c>
      <c r="AA34" s="6">
        <v>0</v>
      </c>
      <c r="AF34" s="205"/>
      <c r="AG34" s="78" t="s">
        <v>132</v>
      </c>
      <c r="AH34" s="41">
        <f>AH33</f>
        <v>4</v>
      </c>
      <c r="AI34" s="46">
        <f>AH34+$AI$41+$AK$41</f>
        <v>12.866666666666667</v>
      </c>
      <c r="AJ34" s="46">
        <f>AI34+$AL$41</f>
        <v>15.866666666666667</v>
      </c>
      <c r="AK34" s="74">
        <f>AJ34+$AI$41+$AK$41-AM41</f>
        <v>21.943333333333335</v>
      </c>
      <c r="AL34" s="74">
        <f>AK34+$AL$41</f>
        <v>24.943333333333335</v>
      </c>
      <c r="AM34" s="46">
        <f>AL34+$AI$41+$AK$41</f>
        <v>33.81</v>
      </c>
      <c r="AN34" s="46">
        <f>AM34+$AL$41</f>
        <v>36.81</v>
      </c>
      <c r="AO34" s="74">
        <f>AN34+$AI$41+$AK$41-AM41</f>
        <v>42.88666666666667</v>
      </c>
      <c r="AP34" s="74">
        <f>AO34+$AL$41</f>
        <v>45.88666666666667</v>
      </c>
      <c r="AQ34" s="46">
        <f>AP34+$AI$41+$AK$41</f>
        <v>54.753333333333337</v>
      </c>
      <c r="AR34" s="46">
        <f>AQ34+$AL$41</f>
        <v>57.753333333333337</v>
      </c>
      <c r="AS34" s="74">
        <f>AR34+$AI$41+$AK$41-AM41</f>
        <v>63.829999999999991</v>
      </c>
      <c r="AT34" s="74">
        <f>AS34+$AL$41</f>
        <v>66.829999999999984</v>
      </c>
      <c r="AU34" s="75">
        <f>AT34+$AI$41+$AK$41</f>
        <v>75.696666666666644</v>
      </c>
      <c r="AV34" s="75">
        <f>AU34+$AL$41</f>
        <v>78.696666666666644</v>
      </c>
      <c r="AW34" s="76">
        <f>AV34+$AI$41+$AK$41-AM41</f>
        <v>84.773333333333298</v>
      </c>
      <c r="AX34" s="77">
        <f>AW34+$AL$41</f>
        <v>87.773333333333298</v>
      </c>
      <c r="BM34" s="1">
        <v>30402</v>
      </c>
      <c r="BN34" s="8" t="s">
        <v>350</v>
      </c>
      <c r="BO34" s="8">
        <v>59</v>
      </c>
      <c r="BP34" s="1">
        <v>292</v>
      </c>
      <c r="BQ34" s="9">
        <v>691</v>
      </c>
      <c r="BR34" s="8">
        <v>44</v>
      </c>
      <c r="BT34" s="159">
        <f t="shared" si="2"/>
        <v>151.56799999999998</v>
      </c>
    </row>
    <row r="35" spans="13:73" ht="13.8" customHeight="1" x14ac:dyDescent="0.25">
      <c r="M35" s="6">
        <v>60701</v>
      </c>
      <c r="N35" s="9" t="s">
        <v>393</v>
      </c>
      <c r="O35" s="8">
        <v>47</v>
      </c>
      <c r="P35" s="1">
        <v>232</v>
      </c>
      <c r="Q35" s="9">
        <v>548</v>
      </c>
      <c r="R35" s="8">
        <v>35</v>
      </c>
      <c r="S35" s="9">
        <v>0</v>
      </c>
      <c r="T35" s="6">
        <f t="shared" si="0"/>
        <v>120.56800000000001</v>
      </c>
      <c r="U35" s="8">
        <v>2</v>
      </c>
      <c r="V35" s="7">
        <v>2</v>
      </c>
      <c r="W35" s="9">
        <v>4</v>
      </c>
      <c r="X35" s="8" t="s">
        <v>391</v>
      </c>
      <c r="Y35" s="7" t="s">
        <v>23</v>
      </c>
      <c r="Z35" s="9" t="s">
        <v>392</v>
      </c>
      <c r="AA35" s="6">
        <v>1</v>
      </c>
      <c r="AF35" s="205"/>
      <c r="AG35" s="38" t="s">
        <v>118</v>
      </c>
      <c r="AH35" s="11"/>
      <c r="AI35" s="45">
        <f>AK34-AN41</f>
        <v>21.91</v>
      </c>
      <c r="AJ35" s="39">
        <f>AL34+AN41</f>
        <v>24.97666666666667</v>
      </c>
      <c r="AK35" s="11"/>
      <c r="AL35" s="45">
        <f>AO34-AN41</f>
        <v>42.853333333333339</v>
      </c>
      <c r="AM35" s="39">
        <f>AP34+AN41</f>
        <v>45.92</v>
      </c>
      <c r="AN35" s="11"/>
      <c r="AO35" s="45">
        <f>AS34-AN41</f>
        <v>63.79666666666666</v>
      </c>
      <c r="AP35" s="39">
        <f>AT34+AN41</f>
        <v>66.863333333333316</v>
      </c>
      <c r="BM35" s="1">
        <v>30403</v>
      </c>
      <c r="BN35" s="8" t="s">
        <v>351</v>
      </c>
      <c r="BO35" s="8">
        <v>58</v>
      </c>
      <c r="BP35" s="1">
        <v>290</v>
      </c>
      <c r="BQ35" s="9">
        <v>685</v>
      </c>
      <c r="BR35" s="8">
        <v>44</v>
      </c>
      <c r="BT35" s="159">
        <f t="shared" si="2"/>
        <v>150.20999999999998</v>
      </c>
    </row>
    <row r="36" spans="13:73" ht="14.4" thickBot="1" x14ac:dyDescent="0.3">
      <c r="M36" s="6">
        <v>970701</v>
      </c>
      <c r="N36" s="9" t="s">
        <v>215</v>
      </c>
      <c r="O36" s="8">
        <v>49</v>
      </c>
      <c r="P36" s="1">
        <v>243</v>
      </c>
      <c r="Q36" s="9">
        <v>855</v>
      </c>
      <c r="R36" s="8">
        <v>36</v>
      </c>
      <c r="S36" s="9">
        <v>0</v>
      </c>
      <c r="T36" s="6">
        <f t="shared" si="0"/>
        <v>131.017</v>
      </c>
      <c r="U36" s="8">
        <v>3</v>
      </c>
      <c r="V36" s="1">
        <v>2</v>
      </c>
      <c r="W36" s="9">
        <v>3</v>
      </c>
      <c r="X36" s="8" t="s">
        <v>0</v>
      </c>
      <c r="Y36" s="1" t="s">
        <v>1</v>
      </c>
      <c r="Z36" s="9" t="s">
        <v>2</v>
      </c>
      <c r="AA36" s="6">
        <v>0</v>
      </c>
      <c r="AF36" s="205"/>
      <c r="AG36" s="38" t="s">
        <v>119</v>
      </c>
      <c r="AH36" s="44"/>
      <c r="AI36" s="38">
        <f>AK33-AN41</f>
        <v>24.7</v>
      </c>
      <c r="AJ36" s="40">
        <f>AL33+AN41</f>
        <v>27.766666666666669</v>
      </c>
      <c r="AK36" s="8"/>
      <c r="AL36" s="38">
        <f>AO33-AN41</f>
        <v>48.433333333333337</v>
      </c>
      <c r="AM36" s="40">
        <f>AP33+AN41</f>
        <v>51.5</v>
      </c>
      <c r="AN36" s="8"/>
      <c r="AO36" s="38">
        <f>AS33-AN41</f>
        <v>72.166666666666671</v>
      </c>
      <c r="AP36" s="40">
        <f>AT33+AN41</f>
        <v>75.233333333333334</v>
      </c>
      <c r="BM36" s="1">
        <v>30404</v>
      </c>
      <c r="BN36" s="8" t="s">
        <v>352</v>
      </c>
      <c r="BO36" s="8">
        <v>59</v>
      </c>
      <c r="BP36" s="1">
        <v>292</v>
      </c>
      <c r="BQ36" s="9">
        <v>691</v>
      </c>
      <c r="BR36" s="8">
        <v>44</v>
      </c>
      <c r="BT36" s="159">
        <f t="shared" si="2"/>
        <v>151.56799999999998</v>
      </c>
    </row>
    <row r="37" spans="13:73" ht="14.4" thickBot="1" x14ac:dyDescent="0.3">
      <c r="M37" s="6">
        <v>970702</v>
      </c>
      <c r="N37" s="9" t="s">
        <v>253</v>
      </c>
      <c r="O37" s="8">
        <v>42</v>
      </c>
      <c r="P37" s="1">
        <v>209</v>
      </c>
      <c r="Q37" s="9">
        <v>496</v>
      </c>
      <c r="R37" s="8">
        <v>32</v>
      </c>
      <c r="S37" s="9">
        <v>0</v>
      </c>
      <c r="T37" s="6">
        <f t="shared" si="0"/>
        <v>108.791</v>
      </c>
      <c r="U37" s="8">
        <v>3</v>
      </c>
      <c r="V37" s="7">
        <v>3</v>
      </c>
      <c r="W37" s="9">
        <v>2</v>
      </c>
      <c r="X37" s="8" t="s">
        <v>254</v>
      </c>
      <c r="Y37" s="7" t="s">
        <v>254</v>
      </c>
      <c r="Z37" s="9" t="s">
        <v>255</v>
      </c>
      <c r="AA37" s="6">
        <v>0</v>
      </c>
      <c r="AF37" s="205"/>
      <c r="AG37" s="45" t="str">
        <f>AG28</f>
        <v>奥古斯特·冯·帕塞瓦尔</v>
      </c>
      <c r="AH37" s="97" t="s">
        <v>193</v>
      </c>
      <c r="AI37" s="45" t="str">
        <f>IF(AI35&lt;=(AJ30-Sheet1!$Q$4),IF(AJ30&lt;=(AJ35-Sheet1!$Q$5),"√","×,偏慢"),"×,偏快")</f>
        <v>√</v>
      </c>
      <c r="AJ37" s="39" t="str">
        <f>IF(AI36&lt;=(AJ30-Sheet1!$Q$4),IF(AJ30&lt;=(AJ36-Sheet1!$Q$5),"√","×,偏慢"),"×,偏快")</f>
        <v>×,偏快</v>
      </c>
      <c r="AK37" s="97" t="s">
        <v>39</v>
      </c>
      <c r="AL37" s="45" t="str">
        <f>IF(AL35&lt;=(AM30-Sheet1!$Q$4),IF(AM30&lt;=(AM35-Sheet1!$Q$5),"√","×,偏慢"),"×,偏快")</f>
        <v>×,偏快</v>
      </c>
      <c r="AM37" s="39" t="str">
        <f>IF(AL36&lt;=(AM30-Sheet1!$Q$4),IF(AM30&lt;=(AM36-Sheet1!$Q$5),"√","×,偏慢"),"×,偏快")</f>
        <v>×,偏快</v>
      </c>
      <c r="AN37" s="97" t="s">
        <v>39</v>
      </c>
      <c r="AO37" s="45" t="str">
        <f>IF(AO35&lt;=(AP30-Sheet1!$Q$4),IF(AP30&lt;=(AP35-Sheet1!$Q$5),"√","×,偏慢"),"×,偏快")</f>
        <v>×,偏快</v>
      </c>
      <c r="AP37" s="39" t="str">
        <f>IF(AO36&lt;=(AP30-Sheet1!$Q$4),IF(AP30&lt;=(AP36-Sheet1!$Q$5),"√","×,偏慢"),"×,偏快")</f>
        <v>×,偏快</v>
      </c>
      <c r="AQ37" s="97" t="s">
        <v>39</v>
      </c>
      <c r="AR37" s="45"/>
      <c r="AS37" s="39"/>
      <c r="AT37" s="97" t="s">
        <v>39</v>
      </c>
      <c r="AU37" s="14"/>
      <c r="AV37" s="17"/>
      <c r="AW37" s="97" t="s">
        <v>39</v>
      </c>
      <c r="AX37" s="14"/>
      <c r="AY37" s="17"/>
      <c r="BM37" s="1">
        <v>30405</v>
      </c>
      <c r="BN37" s="8" t="s">
        <v>353</v>
      </c>
      <c r="BO37" s="8">
        <v>54</v>
      </c>
      <c r="BP37" s="1">
        <v>270</v>
      </c>
      <c r="BQ37" s="9">
        <v>638</v>
      </c>
      <c r="BR37" s="8">
        <v>41</v>
      </c>
      <c r="BT37" s="159">
        <f t="shared" si="2"/>
        <v>139.88999999999999</v>
      </c>
    </row>
    <row r="38" spans="13:73" x14ac:dyDescent="0.25">
      <c r="AF38" s="205"/>
      <c r="AG38" s="38" t="str">
        <f>AG31</f>
        <v>彼得·史特拉塞</v>
      </c>
      <c r="AH38" s="90" t="str">
        <f>IF(COUNTIF(Sheet1!$D$8:$F$8,"剑鱼(818中队)T0")&gt;0,IF(AI28&lt;=(AJ31-Sheet1!$Q$4),IF(AJ31&lt;=(AJ28-Sheet1!$Q$5),"√","×,偏慢"),"×,偏快"),"无")</f>
        <v>无</v>
      </c>
      <c r="AI38" s="38" t="str">
        <f>IF(AI35&lt;=(AJ31-Sheet1!$Q$4),IF(AJ31&lt;=(AJ35-Sheet1!$Q$5),"√","×,偏慢"),"×,偏快")</f>
        <v>√</v>
      </c>
      <c r="AJ38" s="40" t="str">
        <f>IF(AI36&lt;=(AJ31-Sheet1!$Q$4),IF(AJ31&lt;=(AJ36-Sheet1!$Q$5),"√","×,偏慢"),"×,偏快")</f>
        <v>×,偏快</v>
      </c>
      <c r="AK38" s="90" t="str">
        <f>IF(COUNTIF(Sheet1!$D$8:$F$8,"剑鱼(818中队)T0")&gt;0,IF(AL28&lt;=(AM31-Sheet1!$Q$4),IF(AM31&lt;=(AM28-Sheet1!$Q$5),"√","×,偏慢"),"×,偏快"),"无")</f>
        <v>无</v>
      </c>
      <c r="AL38" s="38" t="str">
        <f>IF(AL35&lt;=(AM31-Sheet1!$Q$4),IF(AM31&lt;=(AM35-Sheet1!$Q$5),"√","×,偏慢"),"×,偏快")</f>
        <v>×,偏快</v>
      </c>
      <c r="AM38" s="40" t="str">
        <f>IF(AL36&lt;=(AM31-Sheet1!$Q$4),IF(AM31&lt;=(AM36-Sheet1!$Q$5),"√","×,偏慢"),"×,偏快")</f>
        <v>×,偏快</v>
      </c>
      <c r="AN38" s="90" t="str">
        <f>IF(COUNTIF(Sheet1!$D$8:$F$8,"剑鱼(818中队)T0")&gt;0,IF(AO28&lt;=(AP31-Sheet1!$Q$4),IF(AP31&lt;=(AP28-Sheet1!$Q$5),"√","×,偏慢"),"×,偏快"),"无")</f>
        <v>无</v>
      </c>
      <c r="AO38" s="38" t="str">
        <f>IF(AO35&lt;=(AP31-Sheet1!$Q$4),IF(AP31&lt;=(AP35-Sheet1!$Q$5),"√","×,偏慢"),"×,偏快")</f>
        <v>×,偏快</v>
      </c>
      <c r="AP38" s="40" t="str">
        <f>IF(AO36&lt;=(AP31-Sheet1!$Q$4),IF(AP31&lt;=(AP36-Sheet1!$Q$5),"√","×,偏慢"),"×,偏快")</f>
        <v>×,偏快</v>
      </c>
      <c r="AQ38" s="90" t="str">
        <f>IF(COUNTIF(Sheet1!$D$8:$F$8,"剑鱼(818中队)T0")&gt;0,IF(AR28&lt;=(AS31-Sheet1!$Q$4),IF(AS31&lt;=(AS28-Sheet1!$Q$5),"√","×,偏慢"),"×,偏快"),"无")</f>
        <v>无</v>
      </c>
      <c r="AR38" s="38"/>
      <c r="AS38" s="40"/>
      <c r="AT38" s="90" t="str">
        <f>IF(COUNTIF(Sheet1!$D$8:$F$8,"剑鱼(818中队)T0")&gt;0,IF(AU28&lt;=(AV31-Sheet1!$Q$4),IF(AV31&lt;=(AV28-Sheet1!$Q$5),"√","×,偏慢"),"×,偏快"),"无")</f>
        <v>无</v>
      </c>
      <c r="AV38" s="9"/>
      <c r="AW38" s="90" t="str">
        <f>IF(COUNTIF(Sheet1!$D$8:$F$8,"剑鱼(818中队)T0")&gt;0,IF(AX28&lt;=(AY31-Sheet1!$Q$4),IF(AY31&lt;=(AY28-Sheet1!$Q$5),"√","×,偏慢"),"×,偏快"),"无")</f>
        <v>无</v>
      </c>
      <c r="AY38" s="9"/>
      <c r="BM38" s="1">
        <v>30406</v>
      </c>
      <c r="BN38" s="8" t="s">
        <v>354</v>
      </c>
      <c r="BO38" s="8">
        <v>59</v>
      </c>
      <c r="BP38" s="1">
        <v>292</v>
      </c>
      <c r="BQ38" s="9">
        <v>691</v>
      </c>
      <c r="BR38" s="8">
        <v>44</v>
      </c>
      <c r="BT38" s="159">
        <f t="shared" si="2"/>
        <v>151.56799999999998</v>
      </c>
    </row>
    <row r="39" spans="13:73" ht="14.4" thickBot="1" x14ac:dyDescent="0.3">
      <c r="AF39" s="205"/>
      <c r="AG39" s="46" t="str">
        <f>AG32</f>
        <v>翔鹤</v>
      </c>
      <c r="AH39" s="91" t="str">
        <f>IF(COUNTIF(Sheet1!$D$8:$F$8,"剑鱼(818中队)T0")&gt;0,IF(AI28&lt;=(AJ32-Sheet1!$Q$4),IF(AJ32&lt;=(AJ28-Sheet1!$Q$5),"√","×,偏慢"),"×,偏快"),"无")</f>
        <v>无</v>
      </c>
      <c r="AI39" s="13"/>
      <c r="AJ39" s="5" t="str">
        <f>IF(AI36&lt;=(AJ32-Sheet1!$Q$4),IF(AJ32&lt;=(AJ36-Sheet1!$Q$5),"√","×,偏慢"),"×,偏快")</f>
        <v>×,偏快</v>
      </c>
      <c r="AK39" s="91" t="str">
        <f>IF(COUNTIF(Sheet1!$D$8:$F$8,"剑鱼(818中队)T0")&gt;0,IF(AL28&lt;=(AM32-Sheet1!$Q$4),IF(AM32&lt;=(AM28-Sheet1!$Q$5),"√","×,偏慢"),"×,偏快"),"无")</f>
        <v>无</v>
      </c>
      <c r="AL39" s="13"/>
      <c r="AM39" s="5" t="str">
        <f>IF(AL36&lt;=(AM32-Sheet1!$Q$4),IF(AM32&lt;=(AM36-Sheet1!$Q$5),"√","×,偏慢"),"×,偏快")</f>
        <v>×,偏快</v>
      </c>
      <c r="AN39" s="91" t="str">
        <f>IF(COUNTIF(Sheet1!$D$8:$F$8,"剑鱼(818中队)T0")&gt;0,IF(AO28&lt;=(AP32-Sheet1!$Q$4),IF(AP32&lt;=(AP28-Sheet1!$Q$5),"√","×,偏慢"),"×,偏快"),"无")</f>
        <v>无</v>
      </c>
      <c r="AO39" s="13"/>
      <c r="AP39" s="5" t="str">
        <f>IF(AO36&lt;=(AP32-Sheet1!$Q$4),IF(AP32&lt;=(AP36-Sheet1!$Q$5),"√","×,偏慢"),"×,偏快")</f>
        <v>×,偏快</v>
      </c>
      <c r="AQ39" s="91" t="str">
        <f>IF(COUNTIF(Sheet1!$D$8:$F$8,"剑鱼(818中队)T0")&gt;0,IF(AR28&lt;=(AS32-Sheet1!$Q$4),IF(AS32&lt;=(AS28-Sheet1!$Q$5),"√","×,偏慢"),"×,偏快"),"无")</f>
        <v>无</v>
      </c>
      <c r="AR39" s="13"/>
      <c r="AS39" s="5"/>
      <c r="AT39" s="91" t="str">
        <f>IF(COUNTIF(Sheet1!$D$8:$F$8,"剑鱼(818中队)T0")&gt;0,IF(AU28&lt;=(AV32-Sheet1!$Q$4),IF(AV32&lt;=(AV28-Sheet1!$Q$5),"√","×,偏慢"),"×,偏快"),"无")</f>
        <v>无</v>
      </c>
      <c r="AU39" s="13"/>
      <c r="AV39" s="5"/>
      <c r="AW39" s="91" t="str">
        <f>IF(COUNTIF(Sheet1!$D$8:$F$8,"剑鱼(818中队)T0")&gt;0,IF(AX28&lt;=(AY32-Sheet1!$Q$4),IF(AY32&lt;=(AY28-Sheet1!$Q$5),"√","×,偏慢"),"×,偏快"),"无")</f>
        <v>无</v>
      </c>
      <c r="AX39" s="13"/>
      <c r="AY39" s="5"/>
      <c r="BM39" s="1">
        <v>30501</v>
      </c>
      <c r="BN39" s="8" t="s">
        <v>355</v>
      </c>
      <c r="BO39" s="8">
        <v>51</v>
      </c>
      <c r="BP39" s="1">
        <v>252</v>
      </c>
      <c r="BQ39" s="9">
        <v>596</v>
      </c>
      <c r="BR39" s="8">
        <v>38</v>
      </c>
      <c r="BT39" s="159">
        <f t="shared" si="2"/>
        <v>130.90800000000002</v>
      </c>
    </row>
    <row r="40" spans="13:73" x14ac:dyDescent="0.25">
      <c r="AF40" s="205"/>
      <c r="AG40" s="353" t="s">
        <v>134</v>
      </c>
      <c r="AH40" s="11" t="s">
        <v>126</v>
      </c>
      <c r="AI40" s="14" t="s">
        <v>127</v>
      </c>
      <c r="AJ40" s="14" t="s">
        <v>205</v>
      </c>
      <c r="AK40" s="14" t="s">
        <v>128</v>
      </c>
      <c r="AL40" s="56" t="s">
        <v>129</v>
      </c>
      <c r="AM40" s="56" t="s">
        <v>130</v>
      </c>
      <c r="AN40" s="114" t="s">
        <v>131</v>
      </c>
      <c r="BM40" s="1">
        <v>30502</v>
      </c>
      <c r="BN40" s="8" t="s">
        <v>356</v>
      </c>
      <c r="BO40" s="8">
        <v>51</v>
      </c>
      <c r="BP40" s="1">
        <v>252</v>
      </c>
      <c r="BQ40" s="9">
        <v>596</v>
      </c>
      <c r="BR40" s="8">
        <v>38</v>
      </c>
      <c r="BT40" s="159">
        <f t="shared" si="2"/>
        <v>130.90800000000002</v>
      </c>
    </row>
    <row r="41" spans="13:73" ht="14.4" thickBot="1" x14ac:dyDescent="0.3">
      <c r="AF41" s="206"/>
      <c r="AG41" s="353"/>
      <c r="AH41" s="104">
        <f>Sheet1!J76</f>
        <v>4</v>
      </c>
      <c r="AI41" s="38">
        <v>8</v>
      </c>
      <c r="AJ41" s="105">
        <f>Sheet1!J77+1</f>
        <v>26</v>
      </c>
      <c r="AK41" s="106">
        <f>AJ41*AN41</f>
        <v>0.8666666666666667</v>
      </c>
      <c r="AL41" s="73">
        <v>3</v>
      </c>
      <c r="AM41" s="73">
        <v>2.79</v>
      </c>
      <c r="AN41" s="9">
        <f>1/30</f>
        <v>3.3333333333333333E-2</v>
      </c>
      <c r="BM41" s="1">
        <v>30503</v>
      </c>
      <c r="BN41" s="8" t="s">
        <v>357</v>
      </c>
      <c r="BO41" s="8">
        <v>52</v>
      </c>
      <c r="BP41" s="1">
        <v>258</v>
      </c>
      <c r="BQ41" s="9">
        <v>612</v>
      </c>
      <c r="BR41" s="8">
        <v>39</v>
      </c>
      <c r="BT41" s="159">
        <f t="shared" si="2"/>
        <v>133.94200000000001</v>
      </c>
    </row>
    <row r="42" spans="13:73" ht="14.4" thickBot="1" x14ac:dyDescent="0.3">
      <c r="AF42" s="204" t="s">
        <v>263</v>
      </c>
      <c r="AG42" s="11" t="s">
        <v>239</v>
      </c>
      <c r="AH42" s="14"/>
      <c r="AI42" s="118">
        <v>17.2</v>
      </c>
      <c r="AJ42" s="119">
        <v>21.7</v>
      </c>
      <c r="AK42" s="120">
        <v>23.2</v>
      </c>
      <c r="AL42" s="121">
        <v>31.7</v>
      </c>
      <c r="AM42" s="118">
        <v>41.7</v>
      </c>
      <c r="AN42" s="119">
        <v>45.2</v>
      </c>
      <c r="AO42" s="120">
        <v>49.2</v>
      </c>
      <c r="AP42" s="121">
        <v>56.7</v>
      </c>
      <c r="AQ42" s="118">
        <v>62.7</v>
      </c>
      <c r="AR42" s="119">
        <v>80</v>
      </c>
      <c r="AS42" s="17"/>
      <c r="BM42" s="1">
        <v>30504</v>
      </c>
      <c r="BN42" s="8" t="s">
        <v>358</v>
      </c>
      <c r="BO42" s="8">
        <v>52</v>
      </c>
      <c r="BP42" s="1">
        <v>258</v>
      </c>
      <c r="BQ42" s="9">
        <v>612</v>
      </c>
      <c r="BR42" s="8">
        <v>39</v>
      </c>
      <c r="BT42" s="159">
        <f t="shared" si="2"/>
        <v>133.94200000000001</v>
      </c>
    </row>
    <row r="43" spans="13:73" ht="14.4" thickBot="1" x14ac:dyDescent="0.3">
      <c r="AC43" s="7"/>
      <c r="AD43" s="7"/>
      <c r="AF43" s="205"/>
      <c r="AG43" s="44" t="s">
        <v>238</v>
      </c>
      <c r="AH43" s="11"/>
      <c r="AI43" s="11">
        <f>AK42</f>
        <v>23.2</v>
      </c>
      <c r="AJ43" s="17">
        <f>AL42</f>
        <v>31.7</v>
      </c>
      <c r="AK43" s="147"/>
      <c r="AL43" s="49">
        <f>AM42</f>
        <v>41.7</v>
      </c>
      <c r="AM43" s="114">
        <f>AN42</f>
        <v>45.2</v>
      </c>
      <c r="AN43" s="147"/>
      <c r="AO43" s="49">
        <f>AQ42</f>
        <v>62.7</v>
      </c>
      <c r="AP43" s="17">
        <f>AR42</f>
        <v>80</v>
      </c>
      <c r="AQ43" s="147"/>
      <c r="AR43" s="14">
        <f>AQ42</f>
        <v>62.7</v>
      </c>
      <c r="AS43" s="114">
        <f>AR42</f>
        <v>80</v>
      </c>
      <c r="AU43" s="1" t="s">
        <v>312</v>
      </c>
      <c r="AV43" s="118">
        <v>41.7</v>
      </c>
      <c r="AW43" s="119">
        <v>45.2</v>
      </c>
      <c r="BM43" s="1">
        <v>30505</v>
      </c>
      <c r="BN43" s="8" t="s">
        <v>316</v>
      </c>
      <c r="BO43" s="8">
        <v>54</v>
      </c>
      <c r="BP43" s="1">
        <v>268</v>
      </c>
      <c r="BQ43" s="9">
        <v>632</v>
      </c>
      <c r="BR43" s="8">
        <v>40</v>
      </c>
      <c r="BT43" s="159">
        <f t="shared" si="2"/>
        <v>138.53199999999998</v>
      </c>
      <c r="BU43" s="7">
        <v>0.2</v>
      </c>
    </row>
    <row r="44" spans="13:73" ht="14.4" thickBot="1" x14ac:dyDescent="0.3">
      <c r="AF44" s="205"/>
      <c r="AG44" s="44" t="s">
        <v>242</v>
      </c>
      <c r="AH44" s="8"/>
      <c r="AI44" s="8">
        <f>AK42</f>
        <v>23.2</v>
      </c>
      <c r="AJ44" s="58">
        <f>AL42</f>
        <v>31.7</v>
      </c>
      <c r="AK44" s="148"/>
      <c r="AL44" s="50">
        <f>AM42</f>
        <v>41.7</v>
      </c>
      <c r="AM44" s="58">
        <f>AN42</f>
        <v>45.2</v>
      </c>
      <c r="AN44" s="148"/>
      <c r="AO44" s="50">
        <f>AQ42</f>
        <v>62.7</v>
      </c>
      <c r="AP44" s="58">
        <f>AR42</f>
        <v>80</v>
      </c>
      <c r="AQ44" s="148"/>
      <c r="AS44" s="9"/>
      <c r="AU44" s="1" t="s">
        <v>313</v>
      </c>
      <c r="AV44" s="118">
        <f>AV43+1</f>
        <v>42.7</v>
      </c>
      <c r="AW44" s="119">
        <f>AW43-1</f>
        <v>44.2</v>
      </c>
      <c r="BB44" s="73"/>
      <c r="BM44" s="1">
        <v>30506</v>
      </c>
      <c r="BN44" s="8" t="s">
        <v>359</v>
      </c>
      <c r="BO44" s="8">
        <v>53</v>
      </c>
      <c r="BP44" s="1">
        <v>266</v>
      </c>
      <c r="BQ44" s="9">
        <v>627</v>
      </c>
      <c r="BR44" s="8">
        <v>40</v>
      </c>
      <c r="BT44" s="159">
        <f t="shared" si="2"/>
        <v>137.19399999999999</v>
      </c>
    </row>
    <row r="45" spans="13:73" ht="14.4" thickBot="1" x14ac:dyDescent="0.3">
      <c r="AF45" s="205"/>
      <c r="AG45" s="41" t="s">
        <v>243</v>
      </c>
      <c r="AH45" s="47"/>
      <c r="AI45" s="47">
        <f>AK42</f>
        <v>23.2</v>
      </c>
      <c r="AJ45" s="5">
        <f>AL42</f>
        <v>31.7</v>
      </c>
      <c r="AK45" s="149"/>
      <c r="AL45" s="47">
        <f>AO42</f>
        <v>49.2</v>
      </c>
      <c r="AM45" s="5">
        <f>AP42</f>
        <v>56.7</v>
      </c>
      <c r="AN45" s="149"/>
      <c r="AO45" s="47">
        <f>AQ42</f>
        <v>62.7</v>
      </c>
      <c r="AP45" s="5">
        <f>AR42</f>
        <v>80</v>
      </c>
      <c r="AQ45" s="149"/>
      <c r="AR45" s="13"/>
      <c r="AS45" s="5"/>
      <c r="BM45" s="1">
        <v>30507</v>
      </c>
      <c r="BN45" s="8" t="s">
        <v>360</v>
      </c>
      <c r="BO45" s="8">
        <v>55</v>
      </c>
      <c r="BP45" s="1">
        <v>272</v>
      </c>
      <c r="BQ45" s="9">
        <v>643</v>
      </c>
      <c r="BR45" s="8">
        <v>41</v>
      </c>
      <c r="BT45" s="159">
        <f t="shared" si="2"/>
        <v>141.22800000000001</v>
      </c>
    </row>
    <row r="46" spans="13:73" ht="14.4" thickBot="1" x14ac:dyDescent="0.3">
      <c r="AF46" s="205"/>
      <c r="AG46" s="44" t="str">
        <f>AG37</f>
        <v>奥古斯特·冯·帕塞瓦尔</v>
      </c>
      <c r="AH46" s="91"/>
      <c r="AI46" s="38" t="str">
        <f>IF(AI43&lt;=(AJ30-Sheet1!$Q$4),IF(AJ30&lt;=(AJ43-Sheet1!$Q$5),"√","×,偏慢"),"×,偏快")</f>
        <v>×,偏快</v>
      </c>
      <c r="AJ46" s="40" t="str">
        <f>IF(AI44&lt;=(AJ30-Sheet1!$Q$4),IF(AJ30&lt;=(AJ44-Sheet1!$Q$5),"√","×,偏慢"),"×,偏快")</f>
        <v>×,偏快</v>
      </c>
      <c r="AK46" s="91" t="str">
        <f>IF(AI45&lt;=(AJ30-Sheet1!$Q$4),IF(AJ30&lt;=(AJ45-Sheet1!$Q$5),"√","×,偏慢"),"×,偏快")</f>
        <v>×,偏快</v>
      </c>
      <c r="AL46" s="38" t="str">
        <f>IF(AL43&lt;=(AM30-Sheet1!$Q$4),IF(AM30&lt;=(AM43-Sheet1!$Q$5),"√","×,偏慢"),"×,偏快")</f>
        <v>×,偏快</v>
      </c>
      <c r="AM46" s="40" t="str">
        <f>IF(AL44&lt;=(AM30-Sheet1!$Q$4),IF(AM30&lt;=(AM44-Sheet1!$Q$5),"√","×,偏慢"),"×,偏快")</f>
        <v>×,偏快</v>
      </c>
      <c r="AN46" s="91" t="str">
        <f>IF(AL45&lt;=(AM30-Sheet1!$Q$4),IF(AM30&lt;=(AM45-Sheet1!$Q$5),"√","×,偏慢"),"×,偏快")</f>
        <v>×,偏快</v>
      </c>
      <c r="AO46" s="38" t="str">
        <f>IF(AO43&lt;=(AP30-Sheet1!$Q$4),IF(AP30&lt;=(AP43-Sheet1!$Q$5),"√","×,偏慢"),"×,偏快")</f>
        <v>×,偏快</v>
      </c>
      <c r="AP46" s="40" t="str">
        <f>IF(AO44&lt;=(AP30-Sheet1!$Q$4),IF(AP30&lt;=(AP44-Sheet1!$Q$5),"√","×,偏慢"),"×,偏快")</f>
        <v>×,偏快</v>
      </c>
      <c r="AQ46" s="91" t="str">
        <f>IF(AO45&lt;=(AP30-Sheet1!$Q$4),IF(AP30&lt;=(AP45-Sheet1!$Q$5),"√","×,偏慢"),"×,偏快")</f>
        <v>×,偏快</v>
      </c>
      <c r="AR46" s="38" t="str">
        <f>IF(AR43&lt;=(AS30-Sheet1!$Q$4),IF(AS30&lt;=(AS43-Sheet1!$Q$5),"√","×,偏慢"),"×,偏快")</f>
        <v>×,偏慢</v>
      </c>
      <c r="AS46" s="40"/>
      <c r="BA46" s="73"/>
      <c r="BM46" s="1">
        <v>30508</v>
      </c>
      <c r="BN46" s="8" t="s">
        <v>361</v>
      </c>
      <c r="BO46" s="8">
        <v>53</v>
      </c>
      <c r="BP46" s="1">
        <v>264</v>
      </c>
      <c r="BQ46" s="9">
        <v>629</v>
      </c>
      <c r="BR46" s="8">
        <v>40</v>
      </c>
      <c r="BT46" s="159">
        <f t="shared" si="2"/>
        <v>136.99599999999998</v>
      </c>
    </row>
    <row r="47" spans="13:73" x14ac:dyDescent="0.25">
      <c r="AF47" s="205"/>
      <c r="AG47" s="44" t="str">
        <f>AG38</f>
        <v>彼得·史特拉塞</v>
      </c>
      <c r="AH47" s="90"/>
      <c r="AI47" s="38" t="str">
        <f>IF(AI43&lt;=(AJ31-Sheet1!$Q$4),IF(AJ31&lt;=(AJ43-Sheet1!$Q$5),"√","×,偏慢"),"×,偏快")</f>
        <v>×,偏快</v>
      </c>
      <c r="AJ47" s="40" t="str">
        <f>IF(AI44&lt;=(AJ31-Sheet1!$Q$4),IF(AJ31&lt;=(AJ44-Sheet1!$Q$5),"√","×,偏慢"),"×,偏快")</f>
        <v>×,偏快</v>
      </c>
      <c r="AK47" s="90" t="str">
        <f>IF(AI45&lt;=(AJ31-Sheet1!$Q$4),IF(AJ31&lt;=(AJ45-Sheet1!$Q$5),"√","×,偏慢"),"×,偏快")</f>
        <v>×,偏快</v>
      </c>
      <c r="AL47" s="38" t="str">
        <f>IF(AL43&lt;=(AM31-Sheet1!$Q$4),IF(AM31&lt;=(AM43-Sheet1!$Q$5),"√","×,偏慢"),"×,偏快")</f>
        <v>×,偏快</v>
      </c>
      <c r="AM47" s="40" t="str">
        <f>IF(AL44&lt;=(AM31-Sheet1!$Q$4),IF(AM31&lt;=(AM44-Sheet1!$Q$5),"√","×,偏慢"),"×,偏快")</f>
        <v>×,偏快</v>
      </c>
      <c r="AN47" s="90" t="str">
        <f>IF(AL45&lt;=(AM31-Sheet1!$Q$4),IF(AM31&lt;=(AM45-Sheet1!$Q$5),"√","×,偏慢"),"×,偏快")</f>
        <v>×,偏快</v>
      </c>
      <c r="AO47" s="38" t="str">
        <f>IF(AO43&lt;=(AP31-Sheet1!$Q$4),IF(AP31&lt;=(AP43-Sheet1!$Q$5),"√","×,偏慢"),"×,偏快")</f>
        <v>×,偏快</v>
      </c>
      <c r="AP47" s="40" t="str">
        <f>IF(AO44&lt;=(AP31-Sheet1!$Q$4),IF(AP31&lt;=(AP44-Sheet1!$Q$5),"√","×,偏慢"),"×,偏快")</f>
        <v>×,偏快</v>
      </c>
      <c r="AQ47" s="90" t="str">
        <f>IF(AO45&lt;=(AP31-Sheet1!$Q$4),IF(AP31&lt;=(AP45-Sheet1!$Q$5),"√","×,偏慢"),"×,偏快")</f>
        <v>×,偏快</v>
      </c>
      <c r="AR47" s="38" t="str">
        <f>IF(AR43&lt;=(AS31-Sheet1!$Q$4),IF(AS31&lt;=(AS43-Sheet1!$Q$5),"√","×,偏慢"),"×,偏快")</f>
        <v>√</v>
      </c>
      <c r="AS47" s="40"/>
      <c r="BM47" s="1">
        <v>30511</v>
      </c>
      <c r="BN47" s="8" t="s">
        <v>362</v>
      </c>
      <c r="BO47" s="8">
        <v>60</v>
      </c>
      <c r="BP47" s="1">
        <v>298</v>
      </c>
      <c r="BQ47" s="9">
        <v>707</v>
      </c>
      <c r="BR47" s="8">
        <v>45</v>
      </c>
      <c r="BT47" s="159">
        <f t="shared" si="2"/>
        <v>154.602</v>
      </c>
    </row>
    <row r="48" spans="13:73" ht="14.4" thickBot="1" x14ac:dyDescent="0.3">
      <c r="AF48" s="206"/>
      <c r="AG48" s="41" t="str">
        <f>AG39</f>
        <v>翔鹤</v>
      </c>
      <c r="AH48" s="91"/>
      <c r="AI48" s="13"/>
      <c r="AJ48" s="5" t="str">
        <f>IF(AI44&lt;=(AJ32-Sheet1!$Q$4),IF(AJ32&lt;=(AJ44-Sheet1!$Q$5),"√","×,偏慢"),"×,偏快")</f>
        <v>√</v>
      </c>
      <c r="AK48" s="91" t="str">
        <f>IF(AI45&lt;=(AJ32-Sheet1!$Q$4),IF(AJ32&lt;=(AJ45-Sheet1!$Q$5),"√","×,偏慢"),"×,偏快")</f>
        <v>√</v>
      </c>
      <c r="AL48" s="13"/>
      <c r="AM48" s="5" t="str">
        <f>IF(AL44&lt;=(AM32-Sheet1!$Q$4),IF(AM32&lt;=(AM44-Sheet1!$Q$5),"√","×,偏慢"),"×,偏快")</f>
        <v>√</v>
      </c>
      <c r="AN48" s="91" t="str">
        <f>IF(AL45&lt;=(AM32-Sheet1!$Q$4),IF(AM32&lt;=(AM45-Sheet1!$Q$5),"√","×,偏慢"),"×,偏快")</f>
        <v>×,偏快</v>
      </c>
      <c r="AO48" s="13"/>
      <c r="AP48" s="5" t="str">
        <f>IF(AO44&lt;=(AP32-Sheet1!$Q$4),IF(AP32&lt;=(AP44-Sheet1!$Q$5),"√","×,偏慢"),"×,偏快")</f>
        <v>√</v>
      </c>
      <c r="AQ48" s="91" t="str">
        <f>IF(AO45&lt;=(AP32-Sheet1!$Q$4),IF(AP32&lt;=(AP45-Sheet1!$Q$5),"√","×,偏慢"),"×,偏快")</f>
        <v>√</v>
      </c>
      <c r="AR48" s="13"/>
      <c r="AS48" s="5"/>
      <c r="BM48" s="1">
        <v>30512</v>
      </c>
      <c r="BN48" s="8" t="s">
        <v>363</v>
      </c>
      <c r="BO48" s="8">
        <v>53</v>
      </c>
      <c r="BP48" s="1">
        <v>264</v>
      </c>
      <c r="BQ48" s="9">
        <v>629</v>
      </c>
      <c r="BR48" s="8">
        <v>40</v>
      </c>
      <c r="BT48" s="159">
        <f t="shared" si="2"/>
        <v>136.99599999999998</v>
      </c>
    </row>
    <row r="49" spans="30:72" ht="14.4" thickBot="1" x14ac:dyDescent="0.3">
      <c r="AF49" s="204" t="s">
        <v>264</v>
      </c>
      <c r="AH49" s="97" t="str">
        <f>AH29</f>
        <v>第一轮</v>
      </c>
      <c r="AI49" s="95" t="s">
        <v>191</v>
      </c>
      <c r="AJ49" s="94" t="s">
        <v>192</v>
      </c>
      <c r="AK49" s="97" t="str">
        <f>AK29</f>
        <v>第二轮</v>
      </c>
      <c r="AL49" s="95" t="s">
        <v>191</v>
      </c>
      <c r="AM49" s="94" t="s">
        <v>192</v>
      </c>
      <c r="AN49" s="97" t="str">
        <f>AN29</f>
        <v>第三轮</v>
      </c>
      <c r="AO49" s="95" t="s">
        <v>191</v>
      </c>
      <c r="AP49" s="94" t="s">
        <v>192</v>
      </c>
      <c r="AQ49" s="97" t="str">
        <f>AQ29</f>
        <v>第四轮</v>
      </c>
      <c r="AR49" s="95" t="s">
        <v>191</v>
      </c>
      <c r="AS49" s="94" t="s">
        <v>192</v>
      </c>
      <c r="AT49" s="97" t="str">
        <f>AT29</f>
        <v>第五轮</v>
      </c>
      <c r="AU49" s="95" t="s">
        <v>191</v>
      </c>
      <c r="AV49" s="94" t="s">
        <v>192</v>
      </c>
      <c r="AW49" s="97" t="str">
        <f>AW29</f>
        <v>第六轮</v>
      </c>
      <c r="AX49" s="95" t="s">
        <v>191</v>
      </c>
      <c r="AY49" s="94" t="s">
        <v>192</v>
      </c>
      <c r="BM49" s="1">
        <v>30514</v>
      </c>
      <c r="BN49" s="8" t="s">
        <v>364</v>
      </c>
      <c r="BO49" s="8">
        <v>51</v>
      </c>
      <c r="BP49" s="1">
        <v>254</v>
      </c>
      <c r="BQ49" s="9">
        <v>601</v>
      </c>
      <c r="BR49" s="8">
        <v>38</v>
      </c>
      <c r="BT49" s="159">
        <f t="shared" si="2"/>
        <v>131.24599999999998</v>
      </c>
    </row>
    <row r="50" spans="30:72" x14ac:dyDescent="0.25">
      <c r="AF50" s="205"/>
      <c r="AG50" s="45" t="str">
        <f>AG53</f>
        <v>奥古斯特·冯·帕塞瓦尔</v>
      </c>
      <c r="AH50" s="44">
        <f>AH30</f>
        <v>19.546616148677497</v>
      </c>
      <c r="AI50" s="44">
        <f>AH50+VLOOKUP(Sheet1!$E$19,计算过程!$AF$103:$AH$105,2,FALSE)</f>
        <v>23.00413248854678</v>
      </c>
      <c r="AJ50" s="40">
        <f>AH50+VLOOKUP(Sheet1!$E$19,计算过程!$AF$103:$AH$105,3,FALSE)</f>
        <v>23.111359738421086</v>
      </c>
      <c r="AK50" s="38">
        <f>AK30</f>
        <v>37.693232297354996</v>
      </c>
      <c r="AL50" s="44">
        <f>AK50+VLOOKUP(Sheet1!$E$19,计算过程!$AF$103:$AH$105,2,FALSE)</f>
        <v>41.150748637224275</v>
      </c>
      <c r="AM50" s="40">
        <f>AK50+VLOOKUP(Sheet1!$E$19,计算过程!$AF$103:$AH$105,3,FALSE)</f>
        <v>41.257975887098588</v>
      </c>
      <c r="AN50" s="38">
        <f>AN30</f>
        <v>55.839848446032491</v>
      </c>
      <c r="AO50" s="44">
        <f>AN50+VLOOKUP(Sheet1!$E$19,计算过程!$AF$103:$AH$105,2,FALSE)</f>
        <v>59.29736478590177</v>
      </c>
      <c r="AP50" s="40">
        <f>AN50+VLOOKUP(Sheet1!$E$19,计算过程!$AF$103:$AH$105,3,FALSE)</f>
        <v>59.404592035776083</v>
      </c>
      <c r="AQ50" s="38">
        <f>AQ30</f>
        <v>76.320554030270856</v>
      </c>
      <c r="AR50" s="44">
        <f>AQ50+VLOOKUP(Sheet1!$E$19,计算过程!$AF$103:$AH$105,2,FALSE)</f>
        <v>79.778070370140142</v>
      </c>
      <c r="AS50" s="40">
        <f>AQ50+VLOOKUP(Sheet1!$E$19,计算过程!$AF$103:$AH$105,3,FALSE)</f>
        <v>79.885297620014441</v>
      </c>
      <c r="AT50" s="38">
        <f>AT30</f>
        <v>96.353224033777593</v>
      </c>
      <c r="AU50" s="44">
        <f>AT50+VLOOKUP(Sheet1!$E$19,计算过程!$AF$103:$AH$105,2,FALSE)</f>
        <v>99.81074037364688</v>
      </c>
      <c r="AV50" s="40">
        <f>AT50+VLOOKUP(Sheet1!$E$19,计算过程!$AF$103:$AH$105,3,FALSE)</f>
        <v>99.917967623521179</v>
      </c>
      <c r="AW50" s="40">
        <f>AW30</f>
        <v>116.60991182765014</v>
      </c>
      <c r="AX50" s="44">
        <f>AW50+VLOOKUP(Sheet1!$E$19,计算过程!$AF$103:$AH$105,2,FALSE)</f>
        <v>120.06742816751942</v>
      </c>
      <c r="AY50" s="40">
        <f>AW50+VLOOKUP(Sheet1!$E$19,计算过程!$AF$103:$AH$105,3,FALSE)</f>
        <v>120.17465541739372</v>
      </c>
      <c r="BM50" s="1">
        <v>31001</v>
      </c>
      <c r="BN50" s="8" t="s">
        <v>365</v>
      </c>
      <c r="BO50" s="8">
        <v>46</v>
      </c>
      <c r="BP50" s="1">
        <v>230</v>
      </c>
      <c r="BQ50" s="9">
        <v>543</v>
      </c>
      <c r="BR50" s="8">
        <v>38</v>
      </c>
      <c r="BS50" s="1">
        <v>5</v>
      </c>
      <c r="BT50" s="159">
        <f t="shared" si="2"/>
        <v>122.23</v>
      </c>
    </row>
    <row r="51" spans="30:72" x14ac:dyDescent="0.25">
      <c r="AF51" s="205"/>
      <c r="AG51" s="38" t="str">
        <f>AG54</f>
        <v>彼得·史特拉塞</v>
      </c>
      <c r="AH51" s="44">
        <f>AH31</f>
        <v>20.146616148677499</v>
      </c>
      <c r="AI51" s="44">
        <f>AH51+VLOOKUP(Sheet1!$E$19,$AK$103:$AM$105,2,FALSE)</f>
        <v>23.604132488546782</v>
      </c>
      <c r="AJ51" s="40">
        <f>AH51+VLOOKUP(Sheet1!$E$19,计算过程!$AK$103:$AM$105,3,FALSE)</f>
        <v>23.711359738421088</v>
      </c>
      <c r="AK51" s="38">
        <f>AK31</f>
        <v>38.293232297354997</v>
      </c>
      <c r="AL51" s="44">
        <f>AK51+VLOOKUP(Sheet1!$E$19,$AK$103:$AM$105,2,FALSE)</f>
        <v>41.750748637224277</v>
      </c>
      <c r="AM51" s="40">
        <f>AK51+VLOOKUP(Sheet1!$E$19,计算过程!$AK$103:$AM$105,3,FALSE)</f>
        <v>41.85797588709859</v>
      </c>
      <c r="AN51" s="38">
        <f>AN31</f>
        <v>56.439848446032492</v>
      </c>
      <c r="AO51" s="44">
        <f>AN51+VLOOKUP(Sheet1!$E$19,$AK$103:$AM$105,2,FALSE)</f>
        <v>59.897364785901772</v>
      </c>
      <c r="AP51" s="40">
        <f>AN51+VLOOKUP(Sheet1!$E$19,计算过程!$AK$103:$AM$105,3,FALSE)</f>
        <v>60.004592035776085</v>
      </c>
      <c r="AQ51" s="38">
        <f>AQ31</f>
        <v>75.720554030270861</v>
      </c>
      <c r="AR51" s="44">
        <f>AQ51+VLOOKUP(Sheet1!$E$19,$AK$103:$AM$105,2,FALSE)</f>
        <v>79.178070370140148</v>
      </c>
      <c r="AS51" s="40">
        <f>AQ51+VLOOKUP(Sheet1!$E$19,计算过程!$AK$103:$AM$105,3,FALSE)</f>
        <v>79.285297620014447</v>
      </c>
      <c r="AT51" s="38">
        <f>AT31</f>
        <v>95.214469841489446</v>
      </c>
      <c r="AU51" s="44">
        <f>AT51+VLOOKUP(Sheet1!$E$19,$AK$103:$AM$105,2,FALSE)</f>
        <v>98.671986181358733</v>
      </c>
      <c r="AV51" s="40">
        <f>AT51+VLOOKUP(Sheet1!$E$19,计算过程!$AK$103:$AM$105,3,FALSE)</f>
        <v>98.779213431233032</v>
      </c>
      <c r="AW51" s="40">
        <f>AW31</f>
        <v>114.70838565270803</v>
      </c>
      <c r="AX51" s="44">
        <f>AW51+VLOOKUP(Sheet1!$E$19,$AK$103:$AM$105,2,FALSE)</f>
        <v>118.16590199257732</v>
      </c>
      <c r="AY51" s="40">
        <f>AW51+VLOOKUP(Sheet1!$E$19,计算过程!$AK$103:$AM$105,3,FALSE)</f>
        <v>118.27312924245162</v>
      </c>
      <c r="BM51" s="1">
        <v>31002</v>
      </c>
      <c r="BN51" s="8" t="s">
        <v>366</v>
      </c>
      <c r="BO51" s="8">
        <v>46</v>
      </c>
      <c r="BP51" s="1">
        <v>230</v>
      </c>
      <c r="BQ51" s="9">
        <v>543</v>
      </c>
      <c r="BR51" s="8">
        <v>38</v>
      </c>
      <c r="BS51" s="1">
        <v>5</v>
      </c>
      <c r="BT51" s="159">
        <f t="shared" si="2"/>
        <v>122.23</v>
      </c>
    </row>
    <row r="52" spans="30:72" ht="14.4" thickBot="1" x14ac:dyDescent="0.3">
      <c r="AF52" s="206"/>
      <c r="AG52" s="46" t="str">
        <f>AG55</f>
        <v>翔鹤</v>
      </c>
      <c r="AH52" s="44">
        <f>AH32</f>
        <v>21.476451341014215</v>
      </c>
      <c r="AI52" s="41">
        <f>AH52+VLOOKUP(Sheet1!$E$19,$AP$103:$AR$105,2,FALSE)</f>
        <v>25.415340229903105</v>
      </c>
      <c r="AJ52" s="42">
        <f>AH52+VLOOKUP(Sheet1!$E$19,$AP$103:$AR$105,3,FALSE)</f>
        <v>25.50237726694014</v>
      </c>
      <c r="AK52" s="38">
        <f>AK32</f>
        <v>41.552902682028432</v>
      </c>
      <c r="AL52" s="41">
        <f>AK52+VLOOKUP(Sheet1!$E$19,$AP$103:$AR$105,2,FALSE)</f>
        <v>45.491791570917322</v>
      </c>
      <c r="AM52" s="42">
        <f>AK52+VLOOKUP(Sheet1!$E$19,$AP$103:$AR$105,3,FALSE)</f>
        <v>45.578828607954357</v>
      </c>
      <c r="AN52" s="46">
        <f>AN32</f>
        <v>61.629354023042637</v>
      </c>
      <c r="AO52" s="41">
        <f>AN52+VLOOKUP(Sheet1!$E$19,$AP$103:$AR$105,2,FALSE)</f>
        <v>65.56824291193152</v>
      </c>
      <c r="AP52" s="42">
        <f>AN52+VLOOKUP(Sheet1!$E$19,$AP$103:$AR$105,3,FALSE)</f>
        <v>65.65527994896857</v>
      </c>
      <c r="AQ52" s="46">
        <f>AQ32</f>
        <v>83.936522179725102</v>
      </c>
      <c r="AR52" s="41">
        <f>AQ52+VLOOKUP(Sheet1!$E$19,$AP$103:$AR$105,2,FALSE)</f>
        <v>87.875411068613985</v>
      </c>
      <c r="AS52" s="42">
        <f>AQ52+VLOOKUP(Sheet1!$E$19,$AP$103:$AR$105,3,FALSE)</f>
        <v>87.962448105651035</v>
      </c>
      <c r="AT52" s="46">
        <f>AT32</f>
        <v>106.24369033640755</v>
      </c>
      <c r="AU52" s="41">
        <f>AT52+VLOOKUP(Sheet1!$E$19,$AP$103:$AR$105,2,FALSE)</f>
        <v>110.18257922529644</v>
      </c>
      <c r="AV52" s="42">
        <f>AT52+VLOOKUP(Sheet1!$E$19,$AP$103:$AR$105,3,FALSE)</f>
        <v>110.26961626233349</v>
      </c>
      <c r="AW52" s="42">
        <f>AW32</f>
        <v>128.55085849309</v>
      </c>
      <c r="AX52" s="41">
        <f>AW52+VLOOKUP(Sheet1!$E$19,$AP$103:$AR$105,2,FALSE)</f>
        <v>132.4897473819789</v>
      </c>
      <c r="AY52" s="42">
        <f>AW52+VLOOKUP(Sheet1!$E$19,$AP$103:$AR$105,3,FALSE)</f>
        <v>132.57678441901592</v>
      </c>
      <c r="BM52" s="1">
        <v>31003</v>
      </c>
      <c r="BN52" s="8" t="s">
        <v>367</v>
      </c>
      <c r="BO52" s="8">
        <v>47</v>
      </c>
      <c r="BP52" s="1">
        <v>236</v>
      </c>
      <c r="BQ52" s="9">
        <v>552</v>
      </c>
      <c r="BR52" s="8">
        <v>39</v>
      </c>
      <c r="BT52" s="159">
        <f t="shared" si="2"/>
        <v>125.124</v>
      </c>
    </row>
    <row r="53" spans="30:72" x14ac:dyDescent="0.25">
      <c r="AF53" s="204" t="s">
        <v>265</v>
      </c>
      <c r="AG53" s="43" t="str">
        <f>AG28</f>
        <v>奥古斯特·冯·帕塞瓦尔</v>
      </c>
      <c r="AH53" s="2"/>
      <c r="AI53" s="45" t="str">
        <f>IF(AI56&lt;=AI50,IF(AJ50&lt;=AJ56,"√","×,偏慢"),"×,偏快")</f>
        <v>√</v>
      </c>
      <c r="AJ53" s="45" t="str">
        <f>IF(AI57&lt;=AI50,IF(AJ50&lt;=AJ57,"√","×,偏慢"),"×,偏快")</f>
        <v>√</v>
      </c>
      <c r="AK53" s="11"/>
      <c r="AL53" s="45" t="str">
        <f>IF(AL56&lt;=AL50,IF(AM50&lt;=AM56,"√","×,偏慢"),"×,偏快")</f>
        <v>√</v>
      </c>
      <c r="AM53" s="45" t="str">
        <f>IF(AL57&lt;=AL50,IF(AM50&lt;=AM57,"√","×,偏慢"),"×,偏快")</f>
        <v>√</v>
      </c>
      <c r="AN53" s="14"/>
      <c r="AO53" s="45" t="str">
        <f>IF(AO56&lt;=AO50,IF(AP50&lt;=AP56,"√","×,偏慢"),"×,偏快")</f>
        <v>√</v>
      </c>
      <c r="AP53" s="45" t="str">
        <f>IF(AO57&lt;=AO50,IF(AP50&lt;=AP57,"√","×,偏慢"),"×,偏快")</f>
        <v>×,偏快</v>
      </c>
      <c r="AQ53" s="14"/>
      <c r="AR53" s="45" t="str">
        <f>IF(AR56&lt;=AR50,IF(AS50&lt;=AS56,"√","×,偏慢"),"×,偏快")</f>
        <v>√</v>
      </c>
      <c r="AS53" s="45" t="str">
        <f>IF(AR57&lt;=AR50,IF(AS50&lt;=AS57,"√","×,偏慢"),"×,偏快")</f>
        <v>×,偏快</v>
      </c>
      <c r="AT53" s="14"/>
      <c r="AU53" s="45" t="str">
        <f>IF(AU56&lt;=AU50,IF(AV50&lt;=AV56,"√","×,偏慢"),"×,偏快")</f>
        <v>√</v>
      </c>
      <c r="AV53" s="45" t="str">
        <f>IF(AU57&lt;=AU50,IF(AV50&lt;=AV57,"√","×,偏慢"),"×,偏快")</f>
        <v>×,偏快</v>
      </c>
      <c r="AW53" s="14"/>
      <c r="AX53" s="45" t="str">
        <f>IF(AX56&lt;=AX50,IF(AY50&lt;=AY56,"√","×,偏慢"),"×,偏快")</f>
        <v>√</v>
      </c>
      <c r="AY53" s="45" t="str">
        <f>IF(AX57&lt;=AX50,IF(AY50&lt;=AY57,"√","×,偏慢"),"×,偏快")</f>
        <v>√</v>
      </c>
      <c r="BM53" s="1">
        <v>31004</v>
      </c>
      <c r="BN53" s="8" t="s">
        <v>368</v>
      </c>
      <c r="BO53" s="8">
        <v>47</v>
      </c>
      <c r="BP53" s="1">
        <v>236</v>
      </c>
      <c r="BQ53" s="9">
        <v>552</v>
      </c>
      <c r="BR53" s="8">
        <v>39</v>
      </c>
      <c r="BT53" s="159">
        <f t="shared" si="2"/>
        <v>125.124</v>
      </c>
    </row>
    <row r="54" spans="30:72" x14ac:dyDescent="0.25">
      <c r="AF54" s="205"/>
      <c r="AG54" s="44" t="str">
        <f>AG31</f>
        <v>彼得·史特拉塞</v>
      </c>
      <c r="AH54" s="6"/>
      <c r="AI54" s="38" t="str">
        <f>IF(AI56&lt;=AI51,IF(AJ51&lt;=AJ56,"√","×,偏慢"),"×,偏快")</f>
        <v>√</v>
      </c>
      <c r="AJ54" s="38" t="str">
        <f>IF(AI57&lt;=AI51,IF(AJ51&lt;=AJ57,"√","×,偏慢"),"×,偏快")</f>
        <v>√</v>
      </c>
      <c r="AK54" s="8"/>
      <c r="AL54" s="38" t="str">
        <f>IF(AL56&lt;=AL51,IF(AM51&lt;=AM56,"√","×,偏慢"),"×,偏快")</f>
        <v>√</v>
      </c>
      <c r="AM54" s="38" t="str">
        <f>IF(AL57&lt;=AL51,IF(AM51&lt;=AM57,"√","×,偏慢"),"×,偏快")</f>
        <v>√</v>
      </c>
      <c r="AO54" s="38" t="str">
        <f>IF(AO56&lt;=AO51,IF(AP51&lt;=AP56,"√","×,偏慢"),"×,偏快")</f>
        <v>√</v>
      </c>
      <c r="AP54" s="38" t="str">
        <f>IF(AO57&lt;=AO51,IF(AP51&lt;=AP57,"√","×,偏慢"),"×,偏快")</f>
        <v>×,偏快</v>
      </c>
      <c r="AR54" s="38" t="str">
        <f>IF(AR56&lt;=AR51,IF(AS51&lt;=AS56,"√","×,偏慢"),"×,偏快")</f>
        <v>√</v>
      </c>
      <c r="AS54" s="38" t="str">
        <f>IF(AR57&lt;=AR51,IF(AS51&lt;=AS57,"√","×,偏慢"),"×,偏快")</f>
        <v>×,偏快</v>
      </c>
      <c r="AU54" s="38" t="str">
        <f>IF(AU56&lt;=AU51,IF(AV51&lt;=AV56,"√","×,偏慢"),"×,偏快")</f>
        <v>√</v>
      </c>
      <c r="AV54" s="38" t="str">
        <f>IF(AU57&lt;=AU51,IF(AV51&lt;=AV57,"√","×,偏慢"),"×,偏快")</f>
        <v>×,偏快</v>
      </c>
      <c r="AX54" s="38" t="str">
        <f>IF(AX56&lt;=AX51,IF(AY51&lt;=AY56,"√","×,偏慢"),"×,偏快")</f>
        <v>√</v>
      </c>
      <c r="AY54" s="38" t="str">
        <f>IF(AX57&lt;=AX51,IF(AY51&lt;=AY57,"√","×,偏慢"),"×,偏快")</f>
        <v>×,偏快</v>
      </c>
      <c r="BM54" s="1">
        <v>39902</v>
      </c>
      <c r="BN54" s="8" t="s">
        <v>369</v>
      </c>
      <c r="BO54" s="8">
        <v>54</v>
      </c>
      <c r="BP54" s="1">
        <v>268</v>
      </c>
      <c r="BQ54" s="9">
        <v>632</v>
      </c>
      <c r="BR54" s="8">
        <v>40</v>
      </c>
      <c r="BT54" s="159">
        <f t="shared" si="2"/>
        <v>138.53199999999998</v>
      </c>
    </row>
    <row r="55" spans="30:72" ht="14.4" thickBot="1" x14ac:dyDescent="0.3">
      <c r="AF55" s="205"/>
      <c r="AG55" s="41" t="str">
        <f>AG32</f>
        <v>翔鹤</v>
      </c>
      <c r="AH55" s="48"/>
      <c r="AI55" s="46" t="str">
        <f>IF(AI56&lt;=AI52,IF(AJ52&lt;=AJ56,"√","×,偏慢"),"×,偏快")</f>
        <v>√</v>
      </c>
      <c r="AJ55" s="46" t="str">
        <f>IF(AI57&lt;=AI52,IF(AJ52&lt;=AJ57,"√","×,偏慢"),"×,偏快")</f>
        <v>√</v>
      </c>
      <c r="AK55" s="47"/>
      <c r="AL55" s="46" t="str">
        <f>IF(AL56&lt;=AL52,IF(AM52&lt;=AM56,"√","×,偏慢"),"×,偏快")</f>
        <v>√</v>
      </c>
      <c r="AM55" s="46" t="str">
        <f>IF(AL57&lt;=AL52,IF(AM52&lt;=AM57,"√","×,偏慢"),"×,偏快")</f>
        <v>√</v>
      </c>
      <c r="AN55" s="13"/>
      <c r="AO55" s="46" t="str">
        <f>IF(AO56&lt;=AO52,IF(AP52&lt;=AP56,"√","×,偏慢"),"×,偏快")</f>
        <v>√</v>
      </c>
      <c r="AP55" s="46" t="str">
        <f>IF(AO57&lt;=AO52,IF(AP52&lt;=AP57,"√","×,偏慢"),"×,偏快")</f>
        <v>√</v>
      </c>
      <c r="AQ55" s="13"/>
      <c r="AR55" s="46" t="str">
        <f>IF(AR56&lt;=AR52,IF(AS52&lt;=AS56,"√","×,偏慢"),"×,偏快")</f>
        <v>×,偏慢</v>
      </c>
      <c r="AS55" s="46" t="str">
        <f>IF(AR57&lt;=AR52,IF(AS52&lt;=AS57,"√","×,偏慢"),"×,偏快")</f>
        <v>√</v>
      </c>
      <c r="AT55" s="13"/>
      <c r="AU55" s="46" t="str">
        <f>IF(AU56&lt;=AU52,IF(AV52&lt;=AV56,"√","×,偏慢"),"×,偏快")</f>
        <v>×,偏慢</v>
      </c>
      <c r="AV55" s="46" t="str">
        <f>IF(AU57&lt;=AU52,IF(AV52&lt;=AV57,"√","×,偏慢"),"×,偏快")</f>
        <v>×,偏慢</v>
      </c>
      <c r="AW55" s="13"/>
      <c r="AX55" s="46" t="str">
        <f>IF(AX56&lt;=AX52,IF(AY52&lt;=AY56,"√","×,偏慢"),"×,偏快")</f>
        <v>×,偏慢</v>
      </c>
      <c r="AY55" s="46" t="str">
        <f>IF(AX57&lt;=AX52,IF(AY52&lt;=AY57,"√","×,偏慢"),"×,偏快")</f>
        <v>×,偏慢</v>
      </c>
      <c r="BM55" s="1">
        <v>40401</v>
      </c>
      <c r="BN55" s="8" t="s">
        <v>370</v>
      </c>
      <c r="BO55" s="8">
        <v>58</v>
      </c>
      <c r="BP55" s="1">
        <v>288</v>
      </c>
      <c r="BQ55" s="9">
        <v>680</v>
      </c>
      <c r="BR55" s="8">
        <v>43</v>
      </c>
      <c r="BT55" s="159">
        <f t="shared" si="2"/>
        <v>148.87199999999999</v>
      </c>
    </row>
    <row r="56" spans="30:72" x14ac:dyDescent="0.25">
      <c r="AD56" s="7"/>
      <c r="AE56" s="7"/>
      <c r="AF56" s="205"/>
      <c r="AG56" s="43" t="s">
        <v>115</v>
      </c>
      <c r="AH56" s="2"/>
      <c r="AI56" s="45">
        <v>16</v>
      </c>
      <c r="AJ56" s="45">
        <f>AI56+10</f>
        <v>26</v>
      </c>
      <c r="AK56" s="2"/>
      <c r="AL56" s="38">
        <f>AI56+20</f>
        <v>36</v>
      </c>
      <c r="AM56" s="40">
        <f>AL56+10</f>
        <v>46</v>
      </c>
      <c r="AN56" s="14"/>
      <c r="AO56" s="44">
        <f>AL56+20</f>
        <v>56</v>
      </c>
      <c r="AP56" s="40">
        <f>AO56+10</f>
        <v>66</v>
      </c>
      <c r="AQ56" s="14"/>
      <c r="AR56" s="44">
        <f>AO56+20</f>
        <v>76</v>
      </c>
      <c r="AS56" s="40">
        <f>AR56+10</f>
        <v>86</v>
      </c>
      <c r="AT56" s="14"/>
      <c r="AU56" s="43">
        <f>AR56+20</f>
        <v>96</v>
      </c>
      <c r="AV56" s="39">
        <f>AU56+10</f>
        <v>106</v>
      </c>
      <c r="AW56" s="14"/>
      <c r="AX56" s="44">
        <f>AU56+20</f>
        <v>116</v>
      </c>
      <c r="AY56" s="40">
        <f>AX56+10</f>
        <v>126</v>
      </c>
      <c r="BM56" s="1">
        <v>40402</v>
      </c>
      <c r="BN56" s="8" t="s">
        <v>371</v>
      </c>
      <c r="BO56" s="8">
        <v>58</v>
      </c>
      <c r="BP56" s="1">
        <v>288</v>
      </c>
      <c r="BQ56" s="9">
        <v>680</v>
      </c>
      <c r="BR56" s="8">
        <v>43</v>
      </c>
      <c r="BT56" s="159">
        <f t="shared" si="2"/>
        <v>148.87199999999999</v>
      </c>
    </row>
    <row r="57" spans="30:72" ht="14.4" thickBot="1" x14ac:dyDescent="0.3">
      <c r="AD57" s="7"/>
      <c r="AE57" s="7"/>
      <c r="AF57" s="206"/>
      <c r="AG57" s="41" t="s">
        <v>116</v>
      </c>
      <c r="AH57" s="48"/>
      <c r="AI57" s="46">
        <v>20</v>
      </c>
      <c r="AJ57" s="46">
        <f>AI57+10</f>
        <v>30</v>
      </c>
      <c r="AK57" s="48"/>
      <c r="AL57" s="46">
        <f>AI57+20</f>
        <v>40</v>
      </c>
      <c r="AM57" s="42">
        <f>AL57+10</f>
        <v>50</v>
      </c>
      <c r="AN57" s="13"/>
      <c r="AO57" s="41">
        <f>AL57+20</f>
        <v>60</v>
      </c>
      <c r="AP57" s="42">
        <f>AO57+10</f>
        <v>70</v>
      </c>
      <c r="AQ57" s="13"/>
      <c r="AR57" s="41">
        <f>AO57+20</f>
        <v>80</v>
      </c>
      <c r="AS57" s="42">
        <f>AR57+10</f>
        <v>90</v>
      </c>
      <c r="AT57" s="13"/>
      <c r="AU57" s="41">
        <f>AR57+20</f>
        <v>100</v>
      </c>
      <c r="AV57" s="42">
        <f>AU57+10</f>
        <v>110</v>
      </c>
      <c r="AW57" s="13"/>
      <c r="AX57" s="41">
        <f>AU57+20</f>
        <v>120</v>
      </c>
      <c r="AY57" s="42">
        <f>AX57+10</f>
        <v>130</v>
      </c>
      <c r="BM57" s="1">
        <v>40501</v>
      </c>
      <c r="BN57" s="8" t="s">
        <v>372</v>
      </c>
      <c r="BO57" s="8">
        <v>56</v>
      </c>
      <c r="BP57" s="1">
        <v>278</v>
      </c>
      <c r="BQ57" s="9">
        <v>660</v>
      </c>
      <c r="BR57" s="8">
        <v>42</v>
      </c>
      <c r="BT57" s="159">
        <f t="shared" si="2"/>
        <v>144.28199999999998</v>
      </c>
    </row>
    <row r="58" spans="30:72" ht="14.4" thickBot="1" x14ac:dyDescent="0.3">
      <c r="AD58" s="7"/>
      <c r="AE58" s="7"/>
      <c r="AF58" s="204" t="s">
        <v>266</v>
      </c>
      <c r="AG58" s="114"/>
      <c r="AI58" s="146">
        <v>14</v>
      </c>
      <c r="AJ58" s="94">
        <v>28</v>
      </c>
      <c r="AL58" s="95">
        <v>48</v>
      </c>
      <c r="AM58" s="96">
        <v>52</v>
      </c>
      <c r="BM58" s="1">
        <v>40502</v>
      </c>
      <c r="BN58" s="8" t="s">
        <v>373</v>
      </c>
      <c r="BO58" s="8">
        <v>55</v>
      </c>
      <c r="BP58" s="1">
        <v>276</v>
      </c>
      <c r="BQ58" s="9">
        <v>647</v>
      </c>
      <c r="BR58" s="8">
        <v>41</v>
      </c>
      <c r="BT58" s="159">
        <f t="shared" si="2"/>
        <v>141.78399999999999</v>
      </c>
    </row>
    <row r="59" spans="30:72" x14ac:dyDescent="0.25">
      <c r="AF59" s="205"/>
      <c r="AG59" s="40" t="str">
        <f>AG37</f>
        <v>奥古斯特·冯·帕塞瓦尔</v>
      </c>
      <c r="AI59" s="8"/>
      <c r="AJ59" s="9" t="str">
        <f>IF(AI58&lt;=(AJ30-Sheet1!$Q$4),IF(AJ30&lt;=(AJ58-Sheet1!$Q$5),"√","×,偏慢"),"×,偏快")</f>
        <v>√</v>
      </c>
      <c r="AL59" s="8" t="str">
        <f>IF(AL58&lt;=(AM30-Sheet1!$Q$4),IF(AM30&lt;=(AM58-Sheet1!$Q$5),"√","×,偏慢"),"×,偏快")</f>
        <v>×,偏快</v>
      </c>
      <c r="AM59" s="9"/>
      <c r="BM59" s="1">
        <v>49902</v>
      </c>
      <c r="BN59" s="8" t="s">
        <v>374</v>
      </c>
      <c r="BO59" s="8">
        <v>58</v>
      </c>
      <c r="BP59" s="1">
        <v>288</v>
      </c>
      <c r="BQ59" s="9">
        <v>680</v>
      </c>
      <c r="BR59" s="8">
        <v>43</v>
      </c>
      <c r="BT59" s="159">
        <f t="shared" si="2"/>
        <v>148.87199999999999</v>
      </c>
    </row>
    <row r="60" spans="30:72" x14ac:dyDescent="0.25">
      <c r="AF60" s="205"/>
      <c r="AG60" s="40" t="str">
        <f>AG38</f>
        <v>彼得·史特拉塞</v>
      </c>
      <c r="AI60" s="8"/>
      <c r="AJ60" s="9" t="str">
        <f>IF(AI58&lt;=(AJ31-Sheet1!$Q$4),IF(AJ31&lt;=(AJ58-Sheet1!$Q$5),"√","×,偏慢"),"×,偏快")</f>
        <v>√</v>
      </c>
      <c r="AL60" s="8" t="str">
        <f>IF(AL58&lt;=(AM31-Sheet1!$Q$4),IF(AM31&lt;=(AM58-Sheet1!$Q$5),"√","×,偏慢"),"×,偏快")</f>
        <v>×,偏快</v>
      </c>
      <c r="AM60" s="9"/>
      <c r="BM60" s="1">
        <v>49904</v>
      </c>
      <c r="BN60" s="8" t="s">
        <v>375</v>
      </c>
      <c r="BO60" s="8">
        <v>63</v>
      </c>
      <c r="BP60" s="1">
        <v>312</v>
      </c>
      <c r="BQ60" s="9">
        <v>738</v>
      </c>
      <c r="BR60" s="8">
        <v>47</v>
      </c>
      <c r="BT60" s="159">
        <f t="shared" si="2"/>
        <v>161.88800000000001</v>
      </c>
    </row>
    <row r="61" spans="30:72" ht="14.4" thickBot="1" x14ac:dyDescent="0.3">
      <c r="AF61" s="205"/>
      <c r="AG61" s="42" t="str">
        <f>AG39</f>
        <v>翔鹤</v>
      </c>
      <c r="AI61" s="47"/>
      <c r="AJ61" s="5" t="str">
        <f>IF(AI58&lt;=(AJ32-Sheet1!$Q$4),IF(AJ32&lt;=(AJ58-Sheet1!$Q$5),"√","×,偏慢"),"×,偏快")</f>
        <v>√</v>
      </c>
      <c r="AL61" s="47" t="str">
        <f>IF(AL58&lt;=(AM32-Sheet1!$Q$4),IF(AM32&lt;=(AM58-Sheet1!$Q$5),"√","×,偏慢"),"×,偏快")</f>
        <v>×,偏快</v>
      </c>
      <c r="AM61" s="5"/>
      <c r="BM61" s="1">
        <v>60502</v>
      </c>
      <c r="BN61" s="8" t="s">
        <v>376</v>
      </c>
      <c r="BO61" s="8">
        <v>57</v>
      </c>
      <c r="BP61" s="1">
        <v>282</v>
      </c>
      <c r="BQ61" s="9">
        <v>663</v>
      </c>
      <c r="BR61" s="8">
        <v>42</v>
      </c>
      <c r="BT61" s="159">
        <f t="shared" si="2"/>
        <v>145.81799999999998</v>
      </c>
    </row>
    <row r="62" spans="30:72" ht="14.4" thickBot="1" x14ac:dyDescent="0.3">
      <c r="AF62" s="205"/>
      <c r="AI62" s="146">
        <v>14</v>
      </c>
      <c r="AJ62" s="94">
        <v>28</v>
      </c>
      <c r="AL62" s="1">
        <v>34</v>
      </c>
      <c r="AM62" s="7">
        <v>41</v>
      </c>
      <c r="AO62" s="1">
        <v>57</v>
      </c>
      <c r="AP62" s="7">
        <v>60</v>
      </c>
      <c r="BM62" s="1">
        <v>60505</v>
      </c>
      <c r="BN62" s="8" t="s">
        <v>377</v>
      </c>
      <c r="BO62" s="8">
        <v>51</v>
      </c>
      <c r="BP62" s="1">
        <v>252</v>
      </c>
      <c r="BQ62" s="9">
        <v>596</v>
      </c>
      <c r="BR62" s="8">
        <v>38</v>
      </c>
      <c r="BT62" s="159">
        <f t="shared" si="2"/>
        <v>130.90800000000002</v>
      </c>
    </row>
    <row r="63" spans="30:72" x14ac:dyDescent="0.25">
      <c r="AF63" s="205"/>
      <c r="AG63" s="38" t="str">
        <f>AG59</f>
        <v>奥古斯特·冯·帕塞瓦尔</v>
      </c>
      <c r="AJ63" s="1" t="str">
        <f>IF(AI62&lt;=(AJ30-Sheet1!$Q$4),IF(AJ30&lt;=(AJ62-Sheet1!$Q$5),"√","×,偏慢"),"×,偏快")</f>
        <v>√</v>
      </c>
      <c r="AM63" s="1" t="str">
        <f>IF(AL62&lt;=(AM30-Sheet1!$Q$4),IF(AM30&lt;=(AM62-Sheet1!$Q$5),"√","×,偏慢"),"×,偏快")</f>
        <v>×,偏慢</v>
      </c>
      <c r="AP63" s="1" t="str">
        <f>IF(AO62&lt;=(AP30-Sheet1!$Q$4),IF(AP30&lt;=(AP62-Sheet1!$Q$5),"√","×,偏慢"),"×,偏快")</f>
        <v>√</v>
      </c>
      <c r="BM63" s="1">
        <v>60506</v>
      </c>
      <c r="BN63" s="8" t="s">
        <v>378</v>
      </c>
      <c r="BO63" s="8">
        <v>55</v>
      </c>
      <c r="BP63" s="1">
        <v>272</v>
      </c>
      <c r="BQ63" s="9">
        <v>643</v>
      </c>
      <c r="BR63" s="8">
        <v>41</v>
      </c>
      <c r="BT63" s="159">
        <f t="shared" si="2"/>
        <v>141.22800000000001</v>
      </c>
    </row>
    <row r="64" spans="30:72" ht="14.4" thickBot="1" x14ac:dyDescent="0.3">
      <c r="AF64" s="206"/>
      <c r="AG64" s="38" t="str">
        <f>AG60</f>
        <v>彼得·史特拉塞</v>
      </c>
      <c r="AJ64" s="1" t="str">
        <f>IF(AI62&lt;=(AJ31-Sheet1!$Q$4),IF(AJ31&lt;=(AJ62-Sheet1!$Q$5),"√","×,偏慢"),"×,偏快")</f>
        <v>√</v>
      </c>
      <c r="AM64" s="1" t="str">
        <f>IF(AL62&lt;=(AM31-Sheet1!$Q$4),IF(AM31&lt;=(AM62-Sheet1!$Q$5),"√","×,偏慢"),"×,偏快")</f>
        <v>×,偏慢</v>
      </c>
      <c r="AP64" s="1" t="str">
        <f>IF(AO62&lt;=(AP31-Sheet1!$Q$4),IF(AP31&lt;=(AP62-Sheet1!$Q$5),"√","×,偏慢"),"×,偏快")</f>
        <v>×,偏慢</v>
      </c>
      <c r="BM64" s="1">
        <v>70501</v>
      </c>
      <c r="BN64" s="8" t="s">
        <v>379</v>
      </c>
      <c r="BO64" s="8">
        <v>55</v>
      </c>
      <c r="BP64" s="1">
        <v>272</v>
      </c>
      <c r="BQ64" s="9">
        <v>643</v>
      </c>
      <c r="BR64" s="8">
        <v>41</v>
      </c>
      <c r="BT64" s="159">
        <f t="shared" si="2"/>
        <v>141.22800000000001</v>
      </c>
    </row>
    <row r="65" spans="32:74" ht="14.4" thickBot="1" x14ac:dyDescent="0.3">
      <c r="BM65" s="1">
        <v>70504</v>
      </c>
      <c r="BN65" s="8" t="s">
        <v>380</v>
      </c>
      <c r="BO65" s="8">
        <v>57</v>
      </c>
      <c r="BP65" s="1">
        <v>286</v>
      </c>
      <c r="BQ65" s="9">
        <v>674</v>
      </c>
      <c r="BR65" s="8">
        <v>43</v>
      </c>
      <c r="BT65" s="159">
        <f t="shared" ref="BT65:BT75" si="3">BO65+BP65*($AH$5-1)/1000+BQ65*($AH$5-100)/1000+BR65</f>
        <v>147.51400000000001</v>
      </c>
    </row>
    <row r="66" spans="32:74" ht="14.4" thickBot="1" x14ac:dyDescent="0.3">
      <c r="AF66" s="154" t="s">
        <v>270</v>
      </c>
      <c r="AG66" s="95">
        <v>18</v>
      </c>
      <c r="AH66" s="93">
        <v>21</v>
      </c>
      <c r="AI66" s="95">
        <f>AG66+15</f>
        <v>33</v>
      </c>
      <c r="AJ66" s="94">
        <f>AI66+3</f>
        <v>36</v>
      </c>
      <c r="AK66" s="95">
        <f>AI66+15</f>
        <v>48</v>
      </c>
      <c r="AL66" s="94">
        <f>AK66+3</f>
        <v>51</v>
      </c>
      <c r="AM66" s="95">
        <f>AK66+15</f>
        <v>63</v>
      </c>
      <c r="AN66" s="94">
        <f>AM66+3</f>
        <v>66</v>
      </c>
      <c r="AO66" s="95">
        <f>AM66+15</f>
        <v>78</v>
      </c>
      <c r="AP66" s="94">
        <f>AO66+3</f>
        <v>81</v>
      </c>
      <c r="BM66" s="1">
        <v>70505</v>
      </c>
      <c r="BN66" s="8" t="s">
        <v>381</v>
      </c>
      <c r="BO66" s="8">
        <v>51</v>
      </c>
      <c r="BP66" s="1">
        <v>254</v>
      </c>
      <c r="BQ66" s="9">
        <v>601</v>
      </c>
      <c r="BR66" s="8">
        <v>38</v>
      </c>
      <c r="BT66" s="159">
        <f t="shared" si="3"/>
        <v>131.24599999999998</v>
      </c>
    </row>
    <row r="67" spans="32:74" x14ac:dyDescent="0.25">
      <c r="AG67" s="165" t="s">
        <v>399</v>
      </c>
      <c r="AI67" s="1">
        <v>21.94</v>
      </c>
      <c r="AJ67" s="1">
        <f>AI67+3</f>
        <v>24.94</v>
      </c>
      <c r="AL67" s="1">
        <v>42.89</v>
      </c>
      <c r="AM67" s="1">
        <f>AL67+3</f>
        <v>45.89</v>
      </c>
      <c r="AO67" s="1">
        <v>62.08</v>
      </c>
      <c r="AP67" s="1">
        <f>AO67+3</f>
        <v>65.08</v>
      </c>
      <c r="AR67" s="1">
        <v>83.02</v>
      </c>
      <c r="AS67" s="1">
        <f>AR67+3</f>
        <v>86.02</v>
      </c>
      <c r="BM67" s="1">
        <v>80501</v>
      </c>
      <c r="BN67" s="8" t="s">
        <v>382</v>
      </c>
      <c r="BO67" s="8">
        <v>61</v>
      </c>
      <c r="BP67" s="1">
        <v>304</v>
      </c>
      <c r="BQ67" s="9">
        <v>724</v>
      </c>
      <c r="BR67" s="8">
        <v>46</v>
      </c>
      <c r="BT67" s="159">
        <f t="shared" si="3"/>
        <v>157.65600000000001</v>
      </c>
      <c r="BV67" s="9">
        <v>1</v>
      </c>
    </row>
    <row r="68" spans="32:74" x14ac:dyDescent="0.25">
      <c r="AG68" s="1" t="str">
        <f>Sheet1!$A$6</f>
        <v>奥古斯特·冯·帕塞瓦尔</v>
      </c>
      <c r="AI68" s="1" t="str">
        <f>IF(AI67&lt;=($AJ$30-Sheet1!$Q$4),IF($AJ$30&lt;=(AJ67-Sheet1!$Q$5),"√","×,偏慢"),"×,偏快")</f>
        <v>√</v>
      </c>
      <c r="AL68" s="1" t="str">
        <f>IF(AL67&lt;=($AM$30-Sheet1!$Q$4),IF($AM$30&lt;=(AM67-Sheet1!$Q$5),"√","×,偏慢"),"×,偏快")</f>
        <v>×,偏快</v>
      </c>
      <c r="AO68" s="1" t="str">
        <f>IF(AO67&lt;=($AP$30-Sheet1!$Q$4),IF($AP$30&lt;=(AP67-Sheet1!$Q$5),"√","×,偏慢"),"×,偏快")</f>
        <v>×,偏快</v>
      </c>
      <c r="AR68" s="1" t="str">
        <f>IF(AR67&lt;=($AS$30-Sheet1!$Q$4),IF($AS$30&lt;=(AS67-Sheet1!$Q$5),"√","×,偏慢"),"×,偏快")</f>
        <v>×,偏快</v>
      </c>
      <c r="BM68" s="1">
        <v>89902</v>
      </c>
      <c r="BN68" s="8" t="s">
        <v>383</v>
      </c>
      <c r="BO68" s="8">
        <v>66</v>
      </c>
      <c r="BP68" s="1">
        <v>330</v>
      </c>
      <c r="BQ68" s="9">
        <v>780</v>
      </c>
      <c r="BR68" s="8">
        <v>50</v>
      </c>
      <c r="BT68" s="159">
        <f t="shared" si="3"/>
        <v>170.87</v>
      </c>
      <c r="BV68" s="9">
        <v>1</v>
      </c>
    </row>
    <row r="69" spans="32:74" x14ac:dyDescent="0.25">
      <c r="AG69" s="1" t="str">
        <f>Sheet1!$A$9</f>
        <v>彼得·史特拉塞</v>
      </c>
      <c r="AI69" s="1" t="str">
        <f>IF(AI67&lt;=($AJ$31-Sheet1!$Q$4),IF($AJ$31&lt;=(AJ67-Sheet1!$Q$5),"√","×,偏慢"),"×,偏快")</f>
        <v>√</v>
      </c>
      <c r="AL69" s="1" t="str">
        <f>IF(AL67&lt;=($AM$31-Sheet1!$Q$4),IF($AM$31&lt;=(AM67-Sheet1!$Q$5),"√","×,偏慢"),"×,偏快")</f>
        <v>×,偏快</v>
      </c>
      <c r="AO69" s="1" t="str">
        <f>IF(AO67&lt;=($AP$31-Sheet1!$Q$4),IF($AP$31&lt;=(AP67-Sheet1!$Q$5),"√","×,偏慢"),"×,偏快")</f>
        <v>×,偏快</v>
      </c>
      <c r="AR69" s="1" t="str">
        <f>IF(AR67&lt;=($AS$31-Sheet1!$Q$4),IF($AS$31&lt;=(AS67-Sheet1!$Q$5),"√","×,偏慢"),"×,偏快")</f>
        <v>×,偏快</v>
      </c>
      <c r="BM69" s="1">
        <v>90401</v>
      </c>
      <c r="BN69" s="8" t="s">
        <v>384</v>
      </c>
      <c r="BO69" s="8">
        <v>60</v>
      </c>
      <c r="BP69" s="1">
        <v>298</v>
      </c>
      <c r="BQ69" s="9">
        <v>707</v>
      </c>
      <c r="BR69" s="8">
        <v>45</v>
      </c>
      <c r="BT69" s="159">
        <f t="shared" si="3"/>
        <v>154.602</v>
      </c>
      <c r="BV69" s="9">
        <v>1</v>
      </c>
    </row>
    <row r="70" spans="32:74" x14ac:dyDescent="0.25">
      <c r="AG70" s="165" t="s">
        <v>400</v>
      </c>
      <c r="AI70" s="1">
        <v>22</v>
      </c>
      <c r="AJ70" s="1">
        <v>26</v>
      </c>
      <c r="AL70" s="1">
        <v>43.94</v>
      </c>
      <c r="AM70" s="1">
        <f>AL70+3</f>
        <v>46.94</v>
      </c>
      <c r="AO70" s="1">
        <v>64.94</v>
      </c>
      <c r="AP70" s="1">
        <f>AO70+3</f>
        <v>67.94</v>
      </c>
      <c r="AR70" s="1">
        <v>71</v>
      </c>
      <c r="AS70" s="1">
        <v>81</v>
      </c>
      <c r="BM70" s="1">
        <v>90501</v>
      </c>
      <c r="BN70" s="8" t="s">
        <v>385</v>
      </c>
      <c r="BO70" s="8">
        <v>66</v>
      </c>
      <c r="BP70" s="1">
        <v>328</v>
      </c>
      <c r="BQ70" s="9">
        <v>775</v>
      </c>
      <c r="BR70" s="8">
        <v>49</v>
      </c>
      <c r="BT70" s="159">
        <f t="shared" si="3"/>
        <v>169.53199999999998</v>
      </c>
      <c r="BV70" s="9">
        <v>1</v>
      </c>
    </row>
    <row r="71" spans="32:74" x14ac:dyDescent="0.25">
      <c r="AG71" s="1" t="str">
        <f>Sheet1!$A$6</f>
        <v>奥古斯特·冯·帕塞瓦尔</v>
      </c>
      <c r="AI71" s="1" t="str">
        <f>IF(AI70&lt;=($AJ$30-Sheet1!$Q$4),IF($AJ$30&lt;=(AJ70-Sheet1!$Q$5),"√","×,偏慢"),"×,偏快")</f>
        <v>√</v>
      </c>
      <c r="AL71" s="1" t="str">
        <f>IF(AL70&lt;=($AM$30-Sheet1!$Q$4),IF($AM$30&lt;=(AM70-Sheet1!$Q$5),"√","×,偏慢"),"×,偏快")</f>
        <v>×,偏快</v>
      </c>
      <c r="AO71" s="1" t="str">
        <f>IF(AO70&lt;=($AP$30-Sheet1!$Q$4),IF($AP$30&lt;=(AP70-Sheet1!$Q$5),"√","×,偏慢"),"×,偏快")</f>
        <v>×,偏快</v>
      </c>
      <c r="AR71" s="1" t="str">
        <f>IF(AR70&lt;=($AS$30-Sheet1!$Q$4),IF($AS$30&lt;=(AS70-Sheet1!$Q$5),"√","×,偏慢"),"×,偏快")</f>
        <v>√</v>
      </c>
      <c r="BM71" s="1">
        <v>90503</v>
      </c>
      <c r="BN71" s="8" t="s">
        <v>386</v>
      </c>
      <c r="BO71" s="8">
        <v>62</v>
      </c>
      <c r="BP71" s="1">
        <v>306</v>
      </c>
      <c r="BQ71" s="9">
        <v>729</v>
      </c>
      <c r="BR71" s="8">
        <v>46</v>
      </c>
      <c r="BT71" s="159">
        <f t="shared" si="3"/>
        <v>158.994</v>
      </c>
      <c r="BV71" s="9">
        <v>1</v>
      </c>
    </row>
    <row r="72" spans="32:74" x14ac:dyDescent="0.25">
      <c r="AG72" s="1" t="str">
        <f>Sheet1!$A$9</f>
        <v>彼得·史特拉塞</v>
      </c>
      <c r="AI72" s="1" t="str">
        <f>IF(AI70&lt;=($AJ$31-Sheet1!$Q$4),IF($AJ$31&lt;=(AJ70-Sheet1!$Q$5),"√","×,偏慢"),"×,偏快")</f>
        <v>√</v>
      </c>
      <c r="AL72" s="1" t="str">
        <f>IF(AL70&lt;=($AM$31-Sheet1!$Q$4),IF($AM$31&lt;=(AM70-Sheet1!$Q$5),"√","×,偏慢"),"×,偏快")</f>
        <v>×,偏快</v>
      </c>
      <c r="AO72" s="1" t="str">
        <f>IF(AO70&lt;=($AP$31-Sheet1!$Q$4),IF($AP$31&lt;=(AP70-Sheet1!$Q$5),"√","×,偏慢"),"×,偏快")</f>
        <v>×,偏快</v>
      </c>
      <c r="AR72" s="1" t="str">
        <f>IF(AR70&lt;=($AS$31-Sheet1!$Q$4),IF($AS$31&lt;=(AS70-Sheet1!$Q$5),"√","×,偏慢"),"×,偏快")</f>
        <v>√</v>
      </c>
      <c r="BM72" s="1">
        <v>99901</v>
      </c>
      <c r="BN72" s="8" t="s">
        <v>387</v>
      </c>
      <c r="BO72" s="8">
        <v>62</v>
      </c>
      <c r="BP72" s="1">
        <v>308</v>
      </c>
      <c r="BQ72" s="9">
        <v>727</v>
      </c>
      <c r="BR72" s="8">
        <v>46</v>
      </c>
      <c r="BT72" s="159">
        <f t="shared" si="3"/>
        <v>159.19200000000001</v>
      </c>
      <c r="BV72" s="9">
        <v>1</v>
      </c>
    </row>
    <row r="73" spans="32:74" x14ac:dyDescent="0.25">
      <c r="AG73" s="165" t="s">
        <v>398</v>
      </c>
      <c r="AI73" s="1">
        <v>21.94</v>
      </c>
      <c r="AJ73" s="1">
        <f>AI73+3</f>
        <v>24.94</v>
      </c>
      <c r="AL73" s="1">
        <v>37</v>
      </c>
      <c r="AM73" s="1">
        <v>44</v>
      </c>
      <c r="AO73" s="1">
        <v>61.94</v>
      </c>
      <c r="AP73" s="1">
        <f>AO73+3</f>
        <v>64.94</v>
      </c>
      <c r="AR73" s="1">
        <v>82.89</v>
      </c>
      <c r="AS73" s="1">
        <f>AR73+3</f>
        <v>85.89</v>
      </c>
      <c r="BM73" s="1">
        <v>1040004</v>
      </c>
      <c r="BN73" s="8" t="s">
        <v>388</v>
      </c>
      <c r="BO73" s="8">
        <v>52</v>
      </c>
      <c r="BP73" s="1">
        <v>260</v>
      </c>
      <c r="BQ73" s="9">
        <v>610</v>
      </c>
      <c r="BR73" s="8">
        <v>39</v>
      </c>
      <c r="BT73" s="159">
        <f t="shared" si="3"/>
        <v>134.13999999999999</v>
      </c>
    </row>
    <row r="74" spans="32:74" x14ac:dyDescent="0.25">
      <c r="AG74" s="1" t="str">
        <f>Sheet1!$A$6</f>
        <v>奥古斯特·冯·帕塞瓦尔</v>
      </c>
      <c r="AI74" s="1" t="str">
        <f>IF(AI73&lt;=($AJ$30-Sheet1!$Q$4),IF($AJ$30&lt;=(AJ73-Sheet1!$Q$5),"√","×,偏慢"),"×,偏快")</f>
        <v>√</v>
      </c>
      <c r="AL74" s="1" t="str">
        <f>IF(AL73&lt;=($AM$30-Sheet1!$Q$4),IF($AM$30&lt;=(AM73-Sheet1!$Q$5),"√","×,偏慢"),"×,偏快")</f>
        <v>√</v>
      </c>
      <c r="AO74" s="1" t="str">
        <f>IF(AO73&lt;=($AP$30-Sheet1!$Q$4),IF($AP$30&lt;=(AP73-Sheet1!$Q$5),"√","×,偏慢"),"×,偏快")</f>
        <v>×,偏快</v>
      </c>
      <c r="AR74" s="1" t="str">
        <f>IF(AR73&lt;=($AS$30-Sheet1!$Q$4),IF($AS$30&lt;=(AS73-Sheet1!$Q$5),"√","×,偏慢"),"×,偏快")</f>
        <v>×,偏快</v>
      </c>
      <c r="BM74" s="1">
        <v>1060002</v>
      </c>
      <c r="BN74" s="8" t="s">
        <v>389</v>
      </c>
      <c r="BO74" s="8">
        <v>53</v>
      </c>
      <c r="BP74" s="1">
        <v>264</v>
      </c>
      <c r="BQ74" s="9">
        <v>629</v>
      </c>
      <c r="BR74" s="8">
        <v>40</v>
      </c>
      <c r="BT74" s="159">
        <f t="shared" si="3"/>
        <v>136.99599999999998</v>
      </c>
    </row>
    <row r="75" spans="32:74" x14ac:dyDescent="0.25">
      <c r="AG75" s="1" t="str">
        <f>Sheet1!$A$9</f>
        <v>彼得·史特拉塞</v>
      </c>
      <c r="AI75" s="1" t="str">
        <f>IF(AI73&lt;=($AJ$31-Sheet1!$Q$4),IF($AJ$31&lt;=(AJ73-Sheet1!$Q$5),"√","×,偏慢"),"×,偏快")</f>
        <v>√</v>
      </c>
      <c r="AL75" s="1" t="str">
        <f>IF(AL73&lt;=($AM$31-Sheet1!$Q$4),IF($AM$31&lt;=(AM73-Sheet1!$Q$5),"√","×,偏慢"),"×,偏快")</f>
        <v>√</v>
      </c>
      <c r="AO75" s="1" t="str">
        <f>IF(AO73&lt;=($AP$31-Sheet1!$Q$4),IF($AP$31&lt;=(AP73-Sheet1!$Q$5),"√","×,偏慢"),"×,偏快")</f>
        <v>×,偏快</v>
      </c>
      <c r="AR75" s="1" t="str">
        <f>IF(AR73&lt;=($AS$31-Sheet1!$Q$4),IF($AS$31&lt;=(AS73-Sheet1!$Q$5),"√","×,偏慢"),"×,偏快")</f>
        <v>×,偏快</v>
      </c>
      <c r="BM75" s="1">
        <v>1060005</v>
      </c>
      <c r="BN75" s="8" t="s">
        <v>390</v>
      </c>
      <c r="BO75" s="8">
        <v>55</v>
      </c>
      <c r="BP75" s="1">
        <v>272</v>
      </c>
      <c r="BQ75" s="9">
        <v>643</v>
      </c>
      <c r="BR75" s="8">
        <v>41</v>
      </c>
      <c r="BT75" s="159">
        <f t="shared" si="3"/>
        <v>141.22800000000001</v>
      </c>
    </row>
    <row r="76" spans="32:74" x14ac:dyDescent="0.25">
      <c r="AG76" s="165" t="s">
        <v>401</v>
      </c>
      <c r="AI76" s="1">
        <v>21.94</v>
      </c>
      <c r="AJ76" s="1">
        <f>AI76+3</f>
        <v>24.94</v>
      </c>
      <c r="AL76" s="1">
        <v>42.89</v>
      </c>
      <c r="AM76" s="1">
        <f>AL76+3</f>
        <v>45.89</v>
      </c>
      <c r="AO76" s="1">
        <v>63.83</v>
      </c>
      <c r="AP76" s="1">
        <f>AO76+3</f>
        <v>66.83</v>
      </c>
      <c r="AR76" s="1">
        <v>84.77</v>
      </c>
      <c r="AS76" s="1">
        <f>AR76+3</f>
        <v>87.77</v>
      </c>
    </row>
    <row r="77" spans="32:74" x14ac:dyDescent="0.25">
      <c r="AG77" s="1" t="str">
        <f>Sheet1!$A$6</f>
        <v>奥古斯特·冯·帕塞瓦尔</v>
      </c>
      <c r="AI77" s="1" t="str">
        <f>IF(AI76&lt;=($AJ$30-Sheet1!$Q$4),IF($AJ$30&lt;=(AJ76-Sheet1!$Q$5),"√","×,偏慢"),"×,偏快")</f>
        <v>√</v>
      </c>
      <c r="AL77" s="1" t="str">
        <f>IF(AL76&lt;=($AM$30-Sheet1!$Q$4),IF($AM$30&lt;=(AM76-Sheet1!$Q$5),"√","×,偏慢"),"×,偏快")</f>
        <v>×,偏快</v>
      </c>
      <c r="AO77" s="1" t="str">
        <f>IF(AO76&lt;=($AP$30-Sheet1!$Q$4),IF($AP$30&lt;=(AP76-Sheet1!$Q$5),"√","×,偏慢"),"×,偏快")</f>
        <v>×,偏快</v>
      </c>
      <c r="AR77" s="1" t="str">
        <f>IF(AR76&lt;=($AS$30-Sheet1!$Q$4),IF($AS$30&lt;=(AS76-Sheet1!$Q$5),"√","×,偏慢"),"×,偏快")</f>
        <v>×,偏快</v>
      </c>
    </row>
    <row r="78" spans="32:74" x14ac:dyDescent="0.25">
      <c r="AG78" s="1" t="str">
        <f>Sheet1!$A$9</f>
        <v>彼得·史特拉塞</v>
      </c>
      <c r="AI78" s="1" t="str">
        <f>IF(AI76&lt;=($AJ$31-Sheet1!$Q$4),IF($AJ$31&lt;=(AJ76-Sheet1!$Q$5),"√","×,偏慢"),"×,偏快")</f>
        <v>√</v>
      </c>
      <c r="AL78" s="1" t="str">
        <f>IF(AL76&lt;=($AM$31-Sheet1!$Q$4),IF($AM$31&lt;=(AM76-Sheet1!$Q$5),"√","×,偏慢"),"×,偏快")</f>
        <v>×,偏快</v>
      </c>
      <c r="AO78" s="1" t="str">
        <f>IF(AO76&lt;=($AP$31-Sheet1!$Q$4),IF($AP$31&lt;=(AP76-Sheet1!$Q$5),"√","×,偏慢"),"×,偏快")</f>
        <v>×,偏快</v>
      </c>
      <c r="AR78" s="1" t="str">
        <f>IF(AR76&lt;=($AS$31-Sheet1!$Q$4),IF($AS$31&lt;=(AS76-Sheet1!$Q$5),"√","×,偏慢"),"×,偏快")</f>
        <v>×,偏快</v>
      </c>
    </row>
    <row r="79" spans="32:74" x14ac:dyDescent="0.25">
      <c r="AG79" s="165" t="s">
        <v>402</v>
      </c>
      <c r="AI79" s="1">
        <v>21.94</v>
      </c>
      <c r="AJ79" s="1">
        <f>AI79+3</f>
        <v>24.94</v>
      </c>
      <c r="AL79" s="1">
        <v>42.89</v>
      </c>
      <c r="AM79" s="1">
        <f>AL79+3</f>
        <v>45.89</v>
      </c>
      <c r="AO79" s="1">
        <v>63.83</v>
      </c>
      <c r="AP79" s="1">
        <f>AO79+3</f>
        <v>66.83</v>
      </c>
      <c r="AR79" s="1">
        <v>86.37</v>
      </c>
      <c r="AS79" s="1">
        <f>AR79+3</f>
        <v>89.37</v>
      </c>
    </row>
    <row r="80" spans="32:74" x14ac:dyDescent="0.25">
      <c r="AG80" s="1" t="str">
        <f>Sheet1!$A$6</f>
        <v>奥古斯特·冯·帕塞瓦尔</v>
      </c>
      <c r="AI80" s="1" t="str">
        <f>IF(AI79&lt;=($AJ$30-Sheet1!$Q$4),IF($AJ$30&lt;=(AJ79-Sheet1!$Q$5),"√","×,偏慢"),"×,偏快")</f>
        <v>√</v>
      </c>
      <c r="AL80" s="1" t="str">
        <f>IF(AL79&lt;=($AM$30-Sheet1!$Q$4),IF($AM$30&lt;=(AM79-Sheet1!$Q$5),"√","×,偏慢"),"×,偏快")</f>
        <v>×,偏快</v>
      </c>
      <c r="AO80" s="1" t="str">
        <f>IF(AO79&lt;=($AP$30-Sheet1!$Q$4),IF($AP$30&lt;=(AP79-Sheet1!$Q$5),"√","×,偏慢"),"×,偏快")</f>
        <v>×,偏快</v>
      </c>
      <c r="AR80" s="1" t="str">
        <f>IF(AR79&lt;=($AS$30-Sheet1!$Q$4),IF($AS$30&lt;=(AS79-Sheet1!$Q$5),"√","×,偏慢"),"×,偏快")</f>
        <v>×,偏快</v>
      </c>
    </row>
    <row r="81" spans="32:54" ht="14.4" thickBot="1" x14ac:dyDescent="0.3">
      <c r="AG81" s="1" t="str">
        <f>Sheet1!$A$9</f>
        <v>彼得·史特拉塞</v>
      </c>
      <c r="AI81" s="1" t="str">
        <f>IF(AI79&lt;=($AJ$31-Sheet1!$Q$4),IF($AJ$31&lt;=(AJ79-Sheet1!$Q$5),"√","×,偏慢"),"×,偏快")</f>
        <v>√</v>
      </c>
      <c r="AL81" s="1" t="str">
        <f>IF(AL79&lt;=($AM$31-Sheet1!$Q$4),IF($AM$31&lt;=(AM79-Sheet1!$Q$5),"√","×,偏慢"),"×,偏快")</f>
        <v>×,偏快</v>
      </c>
      <c r="AO81" s="1" t="str">
        <f>IF(AO79&lt;=($AP$31-Sheet1!$Q$4),IF($AP$31&lt;=(AP79-Sheet1!$Q$5),"√","×,偏慢"),"×,偏快")</f>
        <v>×,偏快</v>
      </c>
      <c r="AR81" s="1" t="str">
        <f>IF(AR79&lt;=($AS$31-Sheet1!$Q$4),IF($AS$31&lt;=(AS79-Sheet1!$Q$5),"√","×,偏慢"),"×,偏快")</f>
        <v>×,偏快</v>
      </c>
      <c r="AU81" s="1" t="str">
        <f>IFERROR(89/0,"")</f>
        <v/>
      </c>
      <c r="AV81" s="7"/>
    </row>
    <row r="82" spans="32:54" ht="14.4" thickBot="1" x14ac:dyDescent="0.3">
      <c r="AI82" s="95">
        <v>20.6</v>
      </c>
      <c r="AJ82" s="94">
        <v>23.6</v>
      </c>
      <c r="AK82" s="95">
        <v>33.6</v>
      </c>
      <c r="AL82" s="94">
        <v>40.6</v>
      </c>
      <c r="AM82" s="95">
        <v>41.1</v>
      </c>
      <c r="AN82" s="94">
        <v>45.1</v>
      </c>
      <c r="AO82" s="95">
        <v>45.1</v>
      </c>
      <c r="AP82" s="94">
        <v>47.1</v>
      </c>
      <c r="AQ82" s="95">
        <v>57.1</v>
      </c>
      <c r="AR82" s="94">
        <v>61.1</v>
      </c>
      <c r="AS82" s="95">
        <v>66.099999999999994</v>
      </c>
      <c r="AT82" s="94">
        <v>70.099999999999994</v>
      </c>
      <c r="AU82" s="95">
        <v>70.599999999999994</v>
      </c>
      <c r="AV82" s="94">
        <v>75.599999999999994</v>
      </c>
    </row>
    <row r="83" spans="32:54" x14ac:dyDescent="0.25">
      <c r="AG83" s="165" t="s">
        <v>408</v>
      </c>
      <c r="AI83" s="1">
        <v>20.6</v>
      </c>
      <c r="AJ83" s="1">
        <v>23.6</v>
      </c>
      <c r="AL83" s="1">
        <v>41.1</v>
      </c>
      <c r="AM83" s="1">
        <v>45.1</v>
      </c>
      <c r="AO83" s="1">
        <v>57.1</v>
      </c>
      <c r="AP83" s="1">
        <v>61.1</v>
      </c>
      <c r="AR83" s="1">
        <v>70.599999999999994</v>
      </c>
      <c r="AS83" s="1">
        <v>75.599999999999994</v>
      </c>
    </row>
    <row r="84" spans="32:54" x14ac:dyDescent="0.25">
      <c r="AG84" s="1" t="str">
        <f>Sheet1!$A$6</f>
        <v>奥古斯特·冯·帕塞瓦尔</v>
      </c>
      <c r="AI84" s="1" t="str">
        <f>IF(AI83&lt;=($AJ$30-Sheet1!$Q$4),IF($AJ$30&lt;=(AJ83-Sheet1!$Q$5),"√","×,偏慢"),"×,偏快")</f>
        <v>√</v>
      </c>
      <c r="AL84" s="1" t="str">
        <f>IF(AL83&lt;=($AM$30-Sheet1!$Q$4),IF($AM$30&lt;=(AM83-Sheet1!$Q$5),"√","×,偏慢"),"×,偏快")</f>
        <v>×,偏快</v>
      </c>
      <c r="AO84" s="1" t="str">
        <f>IF(AO83&lt;=($AP$30-Sheet1!$Q$4),IF($AP$30&lt;=(AP83-Sheet1!$Q$5),"√","×,偏慢"),"×,偏快")</f>
        <v>√</v>
      </c>
      <c r="AR84" s="1" t="str">
        <f>IF(AR83&lt;=($AS$30-Sheet1!$Q$4),IF($AS$30&lt;=(AS83-Sheet1!$Q$5),"√","×,偏慢"),"×,偏快")</f>
        <v>×,偏慢</v>
      </c>
      <c r="AX84" s="1" t="s">
        <v>415</v>
      </c>
    </row>
    <row r="85" spans="32:54" x14ac:dyDescent="0.25">
      <c r="AG85" s="1" t="str">
        <f>Sheet1!$A$9</f>
        <v>彼得·史特拉塞</v>
      </c>
      <c r="AI85" s="1" t="str">
        <f>IF(AI83&lt;=($AJ$31-Sheet1!$Q$4),IF($AJ$31&lt;=(AJ83-Sheet1!$Q$5),"√","×,偏慢"),"×,偏快")</f>
        <v>×,偏慢</v>
      </c>
      <c r="AL85" s="1" t="str">
        <f>IF(AL83&lt;=($AM$31-Sheet1!$Q$4),IF($AM$31&lt;=(AM83-Sheet1!$Q$5),"√","×,偏慢"),"×,偏快")</f>
        <v>×,偏快</v>
      </c>
      <c r="AO85" s="1" t="str">
        <f>IF(AO83&lt;=($AP$31-Sheet1!$Q$4),IF($AP$31&lt;=(AP83-Sheet1!$Q$5),"√","×,偏慢"),"×,偏快")</f>
        <v>√</v>
      </c>
      <c r="AR85" s="1" t="str">
        <f>IF(AR83&lt;=($AS$31-Sheet1!$Q$4),IF($AS$31&lt;=(AS83-Sheet1!$Q$5),"√","×,偏慢"),"×,偏快")</f>
        <v>×,偏慢</v>
      </c>
      <c r="AX85" s="1">
        <v>90</v>
      </c>
      <c r="AY85" s="1" t="s">
        <v>413</v>
      </c>
      <c r="AZ85" s="1" t="s">
        <v>412</v>
      </c>
      <c r="BA85" s="1" t="s">
        <v>411</v>
      </c>
      <c r="BB85" s="7" t="s">
        <v>414</v>
      </c>
    </row>
    <row r="86" spans="32:54" x14ac:dyDescent="0.25">
      <c r="AX86" s="1" t="s">
        <v>417</v>
      </c>
      <c r="AY86" s="1">
        <v>1.3888888888888888</v>
      </c>
      <c r="AZ86" s="1">
        <v>1.3888888888888888</v>
      </c>
      <c r="BA86" s="1">
        <v>1.0555555555555558</v>
      </c>
      <c r="BB86" s="7">
        <v>0.57999999999999996</v>
      </c>
    </row>
    <row r="87" spans="32:54" x14ac:dyDescent="0.25">
      <c r="AX87" s="1" t="s">
        <v>418</v>
      </c>
      <c r="AY87" s="1">
        <v>66</v>
      </c>
      <c r="AZ87" s="1">
        <v>52</v>
      </c>
      <c r="BA87" s="1">
        <v>51</v>
      </c>
      <c r="BB87" s="1">
        <v>52</v>
      </c>
    </row>
    <row r="88" spans="32:54" x14ac:dyDescent="0.25">
      <c r="AX88" s="1" t="s">
        <v>416</v>
      </c>
      <c r="AY88" s="1">
        <f>($AX$85-25)/(AY87*0.6)+AY86</f>
        <v>3.0303030303030303</v>
      </c>
      <c r="AZ88" s="1">
        <f>($AX$85-25)/(AZ87*0.6)+AZ86</f>
        <v>3.4722222222222223</v>
      </c>
      <c r="BA88" s="1">
        <f>($AX$85-25)/(BA87*0.6)+BA86</f>
        <v>3.1797385620915035</v>
      </c>
      <c r="BB88" s="165">
        <f>($AX$85)/(BB87*0.6)+BB86</f>
        <v>3.4646153846153847</v>
      </c>
    </row>
    <row r="94" spans="32:54" ht="14.4" thickBot="1" x14ac:dyDescent="0.3"/>
    <row r="95" spans="32:54" ht="14.4" thickBot="1" x14ac:dyDescent="0.3">
      <c r="AF95" s="350" t="s">
        <v>181</v>
      </c>
      <c r="AG95" s="351"/>
      <c r="AH95" s="352"/>
      <c r="AK95" s="350" t="s">
        <v>202</v>
      </c>
      <c r="AL95" s="351"/>
      <c r="AM95" s="352"/>
      <c r="AP95" s="350" t="s">
        <v>203</v>
      </c>
      <c r="AQ95" s="351"/>
      <c r="AR95" s="352"/>
    </row>
    <row r="96" spans="32:54" x14ac:dyDescent="0.25">
      <c r="AF96" s="11" t="str">
        <f>Sheet1!D7</f>
        <v>战斗机</v>
      </c>
      <c r="AG96" s="14" t="str">
        <f>Sheet1!E7</f>
        <v>轰炸机</v>
      </c>
      <c r="AH96" s="17" t="str">
        <f>Sheet1!F7</f>
        <v>鱼雷机</v>
      </c>
      <c r="AK96" s="11" t="str">
        <f>Sheet1!D10</f>
        <v>战斗机</v>
      </c>
      <c r="AL96" s="14" t="str">
        <f>Sheet1!E10</f>
        <v>轰炸机</v>
      </c>
      <c r="AM96" s="17" t="str">
        <f>Sheet1!F10</f>
        <v>鱼雷机</v>
      </c>
      <c r="AP96" s="11" t="str">
        <f>Sheet1!D13</f>
        <v>战斗机</v>
      </c>
      <c r="AQ96" s="14" t="str">
        <f>Sheet1!E13</f>
        <v>轰炸机</v>
      </c>
      <c r="AR96" s="17" t="str">
        <f>Sheet1!F13</f>
        <v>鱼雷机</v>
      </c>
    </row>
    <row r="97" spans="32:51" x14ac:dyDescent="0.25">
      <c r="AF97" s="8" t="str">
        <f>Sheet1!D8</f>
        <v>试作舰载型BF-109G</v>
      </c>
      <c r="AG97" s="1" t="str">
        <f>Sheet1!E8</f>
        <v>试作舰载型天雷</v>
      </c>
      <c r="AH97" s="9" t="str">
        <f>Sheet1!F8</f>
        <v>Ju-87 D-4T0</v>
      </c>
      <c r="AK97" s="8" t="str">
        <f>Sheet1!D11</f>
        <v>试作舰载型BF-109G</v>
      </c>
      <c r="AL97" s="1" t="str">
        <f>Sheet1!E11</f>
        <v>试作舰载型天雷</v>
      </c>
      <c r="AM97" s="9" t="str">
        <f>Sheet1!F11</f>
        <v>Ju-87 D-4T0</v>
      </c>
      <c r="AP97" s="8" t="str">
        <f>Sheet1!D14</f>
        <v>试作型舰载FW-190 A-5T0</v>
      </c>
      <c r="AQ97" s="1" t="str">
        <f>Sheet1!E14</f>
        <v>BTD-1毁灭者T3</v>
      </c>
      <c r="AR97" s="9" t="str">
        <f>Sheet1!F14</f>
        <v>剑鱼(818中队)T0</v>
      </c>
    </row>
    <row r="98" spans="32:51" x14ac:dyDescent="0.25">
      <c r="AF98" s="8">
        <f>VLOOKUP(AF97,IF(AF96="战斗机",计算过程!$A:$D,IF(AF96="轰炸机",计算过程!$E:$H,IF(AF96="鱼雷机",计算过程!$I:$L,$AC$1:$AE$1))),3,FALSE)</f>
        <v>0</v>
      </c>
      <c r="AG98" s="1">
        <f>VLOOKUP(AG97,IF(AG96="战斗机",计算过程!$A:$D,IF(AG96="轰炸机",计算过程!$E:$H,IF(AG96="鱼雷机",计算过程!$I:$L,$AC$1:$AE$1))),3,FALSE)</f>
        <v>1</v>
      </c>
      <c r="AH98" s="9" t="str">
        <f>VLOOKUP(AH97,IF(AH96="战斗机",计算过程!$A:$D,IF(AH96="轰炸机",计算过程!$E:$H,IF(AH96="鱼雷机",计算过程!$I:$L,$AC$1:$AE$1))),3,FALSE)</f>
        <v>集束雷</v>
      </c>
      <c r="AK98" s="8">
        <f>VLOOKUP(AK97,IF(AK96="战斗机",计算过程!$A:$D,IF(AK96="轰炸机",计算过程!$E:$H,IF(AK96="鱼雷机",计算过程!$I:$L,$AC$1:$AE$1))),3,FALSE)</f>
        <v>0</v>
      </c>
      <c r="AL98" s="1">
        <f>VLOOKUP(AL97,IF(AL96="战斗机",计算过程!$A:$D,IF(AL96="轰炸机",计算过程!$E:$H,IF(AL96="鱼雷机",计算过程!$I:$L,$AC$1:$AE$1))),3,FALSE)</f>
        <v>1</v>
      </c>
      <c r="AM98" s="9" t="str">
        <f>VLOOKUP(AM97,IF(AM96="战斗机",计算过程!$A:$D,IF(AM96="轰炸机",计算过程!$E:$H,IF(AM96="鱼雷机",计算过程!$I:$L,$AC$1:$AE$1))),3,FALSE)</f>
        <v>集束雷</v>
      </c>
      <c r="AP98" s="8">
        <f>VLOOKUP(AP97,IF(AP96="战斗机",计算过程!$A:$D,IF(AP96="轰炸机",计算过程!$E:$H,IF(AP96="鱼雷机",计算过程!$I:$L,$AC$1:$AE$1))),3,FALSE)</f>
        <v>0</v>
      </c>
      <c r="AQ98" s="1">
        <f>VLOOKUP(AQ97,IF(AQ96="战斗机",计算过程!$A:$D,IF(AQ96="轰炸机",计算过程!$E:$H,IF(AQ96="鱼雷机",计算过程!$I:$L,$AC$1:$AE$1))),3,FALSE)</f>
        <v>1</v>
      </c>
      <c r="AR98" s="9" t="str">
        <f>VLOOKUP(AR97,IF(AR96="战斗机",计算过程!$A:$D,IF(AR96="轰炸机",计算过程!$E:$H,IF(AR96="鱼雷机",计算过程!$I:$L,$AC$1:$AE$1))),3,FALSE)</f>
        <v>平行雷</v>
      </c>
    </row>
    <row r="99" spans="32:51" ht="14.4" thickBot="1" x14ac:dyDescent="0.3">
      <c r="AF99" s="47" t="e">
        <f>IF(AF96="战斗机",IF(AF98=0,"无航弹",VLOOKUP(AF97,$A:$D,4,FALSE)),IF(AF96="轰炸机",VLOOKUP(AF97,$E:$H,4,FALSE),IF(AF96="鱼雷机",VLOOKUP(AF97,$I:$L,4,FALSE),无飞机)))+IF(COUNTIF(Sheet1!G7:H8,"100/150号航空燃油T0")&gt;0,IF(AF96="无飞机",0,5),0)</f>
        <v>#VALUE!</v>
      </c>
      <c r="AG99" s="13">
        <f>IF(AG96="战斗机",IF(AG98=0,"无航弹",VLOOKUP(AG97,$A:$D,4,FALSE)),IF(AG96="轰炸机",VLOOKUP(AG97,$E:$H,4,FALSE),IF(AG96="鱼雷机",VLOOKUP(AG97,$I:$L,4,FALSE),无飞机)))+IF(COUNTIF(Sheet1!G7:H8,"100/150号航空燃油T0")&gt;0,IF(AG96="无飞机",0,5),0)</f>
        <v>52</v>
      </c>
      <c r="AH99" s="5">
        <f>IF(AH96="战斗机",IF(AH98=0,"无航弹",VLOOKUP(AH97,$A:$D,4,FALSE)),IF(AH96="轰炸机",VLOOKUP(AH97,$E:$H,4,FALSE),IF(AH96="鱼雷机",VLOOKUP(AH97,$I:$L,4,FALSE),无飞机)))+IF(COUNTIF(Sheet1!G7:H8,"100/150号航空燃油T0")&gt;0,IF(AH96="无飞机",0,5),0)</f>
        <v>51</v>
      </c>
      <c r="AK99" s="57" t="e">
        <f>IF(AK96="战斗机",IF(AK98=0,"无航弹",VLOOKUP(AK97,$A:$D,4,FALSE)),IF(AK96="轰炸机",VLOOKUP(AK97,$E:$H,4,FALSE),IF(AK96="鱼雷机",VLOOKUP(AK97,$I:$L,4,FALSE),无飞机)))+IF(COUNTIF(Sheet1!G10:H11,"100/150号航空燃油T0")&gt;0,IF(AK96="无飞机",0,5),0)</f>
        <v>#VALUE!</v>
      </c>
      <c r="AL99" s="22">
        <f>IF(AL96="战斗机",IF(AL98=0,"无航弹",VLOOKUP(AL97,$A:$D,4,FALSE)),IF(AL96="轰炸机",VLOOKUP(AL97,$E:$H,4,FALSE),IF(AL96="鱼雷机",VLOOKUP(AL97,$I:$L,4,FALSE),无飞机)))+IF(COUNTIF(Sheet1!G10:H11,"100/150号航空燃油T0")&gt;0,IF(AL96="无飞机",0,5),0)</f>
        <v>52</v>
      </c>
      <c r="AM99" s="5">
        <f>IF(AM96="战斗机",IF(AM98=0,"无航弹",VLOOKUP(AM97,$A:$D,4,FALSE)),IF(AM96="轰炸机",VLOOKUP(AM97,$E:$H,4,FALSE),IF(AM96="鱼雷机",VLOOKUP(AM97,$I:$L,4,FALSE),0)))+IF(COUNTIF(Sheet1!G10:H11,"100/150号航空燃油T0")&gt;0,IF(AM96="无飞机",0,5),0)</f>
        <v>51</v>
      </c>
      <c r="AP99" s="47" t="e">
        <f>IF(AP96="战斗机",IF(AP98=0,"无航弹",VLOOKUP(AP97,$A:$D,4,FALSE)),IF(AP96="轰炸机",VLOOKUP(AP97,$E:$H,4,FALSE),IF(AP96="鱼雷机",VLOOKUP(AP97,$I:$L,4,FALSE),无飞机)))+IF(COUNTIF(Sheet1!G13:H14,"100/150号航空燃油T0")&gt;0,IF(AP96="无飞机",0,5),0)</f>
        <v>#VALUE!</v>
      </c>
      <c r="AQ99" s="13">
        <f>IF(AQ96="战斗机",IF(AQ98=0,"无航弹",VLOOKUP(AQ97,$A:$D,4,FALSE)),IF(AQ96="轰炸机",VLOOKUP(AQ97,$E:$H,4,FALSE),IF(AQ96="鱼雷机",VLOOKUP(AQ97,$I:$L,4,FALSE),无飞机)))+IF(COUNTIF(Sheet1!G13:H14,"100/150号航空燃油T0")&gt;0,IF(AQ96="无飞机",0,5),0)</f>
        <v>45</v>
      </c>
      <c r="AR99" s="5">
        <f>IF(AR96="战斗机",IF(AR98=0,"无航弹",VLOOKUP(AR97,$A:$D,4,FALSE)),IF(AR96="轰炸机",VLOOKUP(AR97,$E:$H,4,FALSE),IF(AR96="鱼雷机",VLOOKUP(AR97,$I:$L,4,FALSE),0)))+IF(COUNTIF(Sheet1!G13:H14,"100/150号航空燃油T0")&gt;0,IF(AR96="无飞机",0,5),0)</f>
        <v>48</v>
      </c>
    </row>
    <row r="100" spans="32:51" x14ac:dyDescent="0.25">
      <c r="AF100" s="123">
        <f>IFERROR(IF($AF$96="鱼雷机",IF($AF$98="集束雷",IF($AF$97="Ju-87 D-4T0",(AI100-$AT$107)/($AF$99*0.6)+$AT$107/18,(AI100-$AT$106)/($AF$99*0.6)+$AT$106/18),(AI100-2*$AF$99*0.6)/18+2),AI100/($AF$99*0.6)+0.1+0.5+0.3*($AF$98-1)),0)</f>
        <v>0</v>
      </c>
      <c r="AG100" s="124">
        <f>IFERROR(IF($AG$96="鱼雷机",IF($AG$98="集束雷",IF($AG$97="Ju-87 D-4T0",(AI100-$AT$107)/($AG$99*0.6)+$AT$107/18,(AI100-$AT$106)/($AG$99*0.6)+$AT$106/18),(AI100-2*$AG$99*0.6)/18+2),AI100/($AG$99*0.6)+0.1+0.5+0.3*($AG$98-1)),0)</f>
        <v>3.56474358974359</v>
      </c>
      <c r="AH100" s="125">
        <f>IFERROR(IF($AH$96="鱼雷机",IF($AH$98="集束雷",IF($AH$97="Ju-87 D-4T0",(AI100-$AT$107)/($AH$99*0.6)+$AT$107/18,(AI100-$AT$106)/($AH$99*0.6)+$AT$106/18),(AI100-2*$AH$99*0.6)/18+2),AI100/($AH$99*0.6)+0.1+0.5+0.3*($AH$98-1)),0)</f>
        <v>3.4575163398692812</v>
      </c>
      <c r="AI100" s="2">
        <f>$AV$106-(-105)</f>
        <v>92.5</v>
      </c>
      <c r="AK100" s="49">
        <f>IFERROR(IF($AK$96="鱼雷机",IF($AK$98="集束雷",IF($AK$97="Ju-87 D-4T0",(AN100-$AT$107)/($AK$99*0.6)+$AT$107/18,(AN100-$AT$106)/($AK$99*0.6)+$AT$106/18),(AN100-2*$AK$99*0.6)/18+2),AN100/($AK$99*0.6)+0.1+0.5+0.3*($AK$98-1)),0)</f>
        <v>0</v>
      </c>
      <c r="AL100" s="56">
        <f>IFERROR(IF($AL$96="鱼雷机",IF($AL$98="集束雷",IF($AL$97="Ju-87 D-4T0",(AN100-$AT$107)/($AL$99*0.6)+$AT$107/18,(AN100-$AT$106)/($AL$99*0.6)+$AT$106/18),(AN100-2*$AL$99*0.6)/18+2),AN100/($AL$99*0.6)+0.1+0.5+0.3*($AL$98-1)),0)</f>
        <v>3.56474358974359</v>
      </c>
      <c r="AM100" s="17">
        <f>IFERROR(IF($AM$96="鱼雷机",IF($AM$98="集束雷",IF($AM$97="Ju-87 D-4T0",(AN100-$AT$107)/($AM$99*0.6)+$AT$107/18,(AN100-$AT$106)/($AM$99*0.6)+$AT$106/18),(AN100-2*$AM$99*0.6)/18+2),AN100/($AM$99*0.6)+0.1+0.5+0.3*($AM$98-1)),0)</f>
        <v>3.4575163398692812</v>
      </c>
      <c r="AN100" s="2">
        <f>$AV$106-(-105)</f>
        <v>92.5</v>
      </c>
      <c r="AP100" s="11">
        <f>IFERROR(IF($AP$96="鱼雷机",IF($AP$98="集束雷",IF($AP$97="Ju-87 D-4T0",(AS100-$AT$107)/($AP$99*0.6)+$AT$107/18,(AS100-$AT$106)/($AP$99*0.6)+$AT$106/18),(AS100-2*$AP$99*0.6)/18+2),AS100/($AP$99*0.6)+0.1+0.5+0.3*($AP$98-1)),0)</f>
        <v>0</v>
      </c>
      <c r="AQ100" s="14">
        <f>IFERROR(IF($AQ$96="鱼雷机",IF($AQ$98="集束雷",IF($AQ$97="Ju-87 D-4T0",(AS100-$AT$107)/($AQ$99*0.6)+$AT$107/18,(AS100-$AT$106)/($AQ$99*0.6)+$AT$106/18),(AS100-2*$AQ$99*0.6)/18+2),AS100/($AQ$99*0.6)+0.1+0.5+0.3*($AQ$98-1)),0)</f>
        <v>4.0259259259259261</v>
      </c>
      <c r="AR100" s="17">
        <f>IFERROR(IF($AR$96="鱼雷机",IF($AR$98="集束雷",IF($AR$97="Ju-87 D-4T0",(AS100-$AT$107)/($AR$99*0.6)+$AT$107/18,(AS100-$AT$106)/($AR$99*0.6)+$AT$106/18),(AS100-2*$AR$99*0.6)/18+2),AS100/($AR$99*0.6)+0.1+0.5+0.3*($AR$98-1)),0)</f>
        <v>3.9388888888888891</v>
      </c>
      <c r="AS100" s="2">
        <f>$AV$106-(-105)</f>
        <v>92.5</v>
      </c>
    </row>
    <row r="101" spans="32:51" x14ac:dyDescent="0.25">
      <c r="AF101" s="8">
        <f>IFERROR(IF($AF$96="鱼雷机",IF($AF$98="集束雷",IF($AF$97="Ju-87 D-4T0",(AI101-$AT$107)/($AF$99*0.6)+$AT$107/18,(AI101-$AT$106)/($AF$99*0.6)+$AT$106/18),(AI101-2*$AF$99*0.6)/18+2),AI101/($AF$99*0.6)+0.1+0.5+0.3*($AF$98-1)),0)</f>
        <v>0</v>
      </c>
      <c r="AG101" s="1">
        <f>IFERROR(IF($AG$96="鱼雷机",IF($AG$98="集束雷",IF($AG$97="Ju-87 D-4T0",(AI101-$AT$107)/($AG$99*0.6)+$AT$107/18,(AI101-$AT$106)/($AG$99*0.6)+$AT$106/18),(AI101-2*$AG$99*0.6)/18+2),AI101/($AG$99*0.6)+0.1+0.5+0.3*($AG$98-1)),0)</f>
        <v>3.9653846153846155</v>
      </c>
      <c r="AH101" s="9">
        <f>IFERROR(IF($AH$96="鱼雷机",IF($AH$98="集束雷",IF($AH$97="Ju-87 D-4T0",(AI101-$AT$107)/($AH$99*0.6)+$AT$107/18,(AI101-$AT$106)/($AH$99*0.6)+$AT$106/18),(AI101-2*$AH$99*0.6)/18+2),AI101/($AH$99*0.6)+0.1+0.5+0.3*($AH$98-1)),0)</f>
        <v>3.8660130718954253</v>
      </c>
      <c r="AI101" s="6">
        <f>$AV$107-(-105)</f>
        <v>105</v>
      </c>
      <c r="AK101" s="50">
        <f>IFERROR(IF($AK$96="鱼雷机",IF($AK$98="集束雷",IF($AK$97="Ju-87 D-4T0",(AN101-$AT$107)/($AK$99*0.6)+$AT$107/18,(AN101-$AT$106)/($AK$99*0.6)+$AT$106/18),(AN101-2*$AK$99*0.6)/18+2),AN101/($AK$99*0.6)+0.1+0.5+0.3*($AK$98-1)),0)</f>
        <v>0</v>
      </c>
      <c r="AL101" s="7">
        <f>IFERROR(IF($AL$96="鱼雷机",IF($AL$98="集束雷",IF($AL$97="Ju-87 D-4T0",(AN101-$AT$107)/($AL$99*0.6)+$AT$107/18,(AN101-$AT$106)/($AL$99*0.6)+$AT$106/18),(AN101-2*$AL$99*0.6)/18+2),AN101/($AL$99*0.6)+0.1+0.5+0.3*($AL$98-1)),0)</f>
        <v>3.9653846153846155</v>
      </c>
      <c r="AM101" s="9">
        <f>IFERROR(IF($AM$96="鱼雷机",IF($AM$98="集束雷",IF($AM$97="Ju-87 D-4T0",(AN101-$AT$107)/($AM$99*0.6)+$AT$107/18,(AN101-$AT$106)/($AM$99*0.6)+$AT$106/18),(AN101-2*$AM$99*0.6)/18+2),AN101/($AM$99*0.6)+0.1+0.5+0.3*($AM$98-1)),0)</f>
        <v>3.8660130718954253</v>
      </c>
      <c r="AN101" s="6">
        <f>$AV$107-(-105)</f>
        <v>105</v>
      </c>
      <c r="AP101" s="8">
        <f>IFERROR(IF($AP$96="鱼雷机",IF($AP$98="集束雷",IF($AP$97="Ju-87 D-4T0",(AS101-$AT$107)/($AP$99*0.6)+$AT$107/18,(AS101-$AT$106)/($AP$99*0.6)+$AT$106/18),(AS101-2*$AP$99*0.6)/18+2),AS101/($AP$99*0.6)+0.1+0.5+0.3*($AP$98-1)),0)</f>
        <v>0</v>
      </c>
      <c r="AQ101" s="1">
        <f>IFERROR(IF($AQ$96="鱼雷机",IF($AQ$98="集束雷",IF($AQ$97="Ju-87 D-4T0",(AS101-$AT$107)/($AQ$99*0.6)+$AT$107/18,(AS101-$AT$106)/($AQ$99*0.6)+$AT$106/18),(AS101-2*$AQ$99*0.6)/18+2),AS101/($AQ$99*0.6)+0.1+0.5+0.3*($AQ$98-1)),0)</f>
        <v>4.4888888888888889</v>
      </c>
      <c r="AR101" s="9">
        <f>IFERROR(IF($AR$96="鱼雷机",IF($AR$98="集束雷",IF($AR$97="Ju-87 D-4T0",(AS101-$AT$107)/($AR$99*0.6)+$AT$107/18,(AS101-$AT$106)/($AR$99*0.6)+$AT$106/18),(AS101-2*$AR$99*0.6)/18+2),AS101/($AR$99*0.6)+0.1+0.5+0.3*($AR$98-1)),0)</f>
        <v>4.6333333333333337</v>
      </c>
      <c r="AS101" s="6">
        <f>$AV$107-(-105)</f>
        <v>105</v>
      </c>
    </row>
    <row r="102" spans="32:51" ht="14.4" thickBot="1" x14ac:dyDescent="0.3">
      <c r="AF102" s="47">
        <f>IFERROR(IF($AF$96="鱼雷机",IF($AF$98="集束雷",IF($AF$97="Ju-87 D-4T0",(AI102-$AT$107)/($AF$99*0.6)+$AT$107/18,(AI102-$AT$106)/($AF$99*0.6)+$AT$106/18),(AI102-2*$AF$99*0.6)/18+2),AI102/($AF$99*0.6)+0.1+0.5+0.3*($AF$98-1)),0)</f>
        <v>0</v>
      </c>
      <c r="AG102" s="13">
        <f>IFERROR(IF($AG$96="鱼雷机",IF($AG$98="集束雷",IF($AG$97="Ju-87 D-4T0",(AI102-$AT$107)/($AG$99*0.6)+$AT$107/18,(AI102-$AT$106)/($AG$99*0.6)+$AT$106/18),(AI102-2*$AG$99*0.6)/18+2),AI102/($AG$99*0.6)+0.1+0.5+0.3*($AG$98-1)),0)</f>
        <v>4.2858974358974358</v>
      </c>
      <c r="AH102" s="5">
        <f>IFERROR(IF($AH$96="鱼雷机",IF($AH$98="集束雷",IF($AH$97="Ju-87 D-4T0",(AI102-$AT$107)/($AH$99*0.6)+$AT$107/18,(AI102-$AT$106)/($AH$99*0.6)+$AT$106/18),(AI102-2*$AH$99*0.6)/18+2),AI102/($AH$99*0.6)+0.1+0.5+0.3*($AH$98-1)),0)</f>
        <v>4.1928104575163401</v>
      </c>
      <c r="AI102" s="48">
        <f>$AV$108-(-105)</f>
        <v>115</v>
      </c>
      <c r="AK102" s="57">
        <f>IFERROR(IF($AK$96="鱼雷机",IF($AK$98="集束雷",IF($AK$97="Ju-87 D-4T0",(AN102-$AT$107)/($AK$99*0.6)+$AT$107/18,(AN102-$AT$106)/($AK$99*0.6)+$AT$106/18),(AN102-2*$AK$99*0.6)/18+2),AN102/($AK$99*0.6)+0.1+0.5+0.3*($AK$98-1)),0)</f>
        <v>0</v>
      </c>
      <c r="AL102" s="22">
        <f>IFERROR(IF($AL$96="鱼雷机",IF($AL$98="集束雷",IF($AL$97="Ju-87 D-4T0",(AN102-$AT$107)/($AL$99*0.6)+$AT$107/18,(AN102-$AT$106)/($AL$99*0.6)+$AT$106/18),(AN102-2*$AL$99*0.6)/18+2),AN102/($AL$99*0.6)+0.1+0.5+0.3*($AL$98-1)),0)</f>
        <v>4.2858974358974358</v>
      </c>
      <c r="AM102" s="5">
        <f>IFERROR(IF($AM$96="鱼雷机",IF($AM$98="集束雷",IF($AM$97="Ju-87 D-4T0",(AN102-$AT$107)/($AM$99*0.6)+$AT$107/18,(AN102-$AT$106)/($AM$99*0.6)+$AT$106/18),(AN102-2*$AM$99*0.6)/18+2),AN102/($AM$99*0.6)+0.1+0.5+0.3*($AM$98-1)),0)</f>
        <v>4.1928104575163401</v>
      </c>
      <c r="AN102" s="48">
        <f>$AV$108-(-105)</f>
        <v>115</v>
      </c>
      <c r="AP102" s="47">
        <f>IFERROR(IF($AP$96="鱼雷机",IF($AP$98="集束雷",IF($AP$97="Ju-87 D-4T0",(AS102-$AT$107)/($AP$99*0.6)+$AT$107/18,(AS102-$AT$106)/($AP$99*0.6)+$AT$106/18),(AS102-2*$AP$99*0.6)/18+2),AS102/($AP$99*0.6)+0.1+0.5+0.3*($AP$98-1)),0)</f>
        <v>0</v>
      </c>
      <c r="AQ102" s="13">
        <f>IFERROR(IF($AQ$96="鱼雷机",IF($AQ$98="集束雷",IF($AQ$97="Ju-87 D-4T0",(AS102-$AT$107)/($AQ$99*0.6)+$AT$107/18,(AS102-$AT$106)/($AQ$99*0.6)+$AT$106/18),(AS102-2*$AQ$99*0.6)/18+2),AS102/($AQ$99*0.6)+0.1+0.5+0.3*($AQ$98-1)),0)</f>
        <v>4.8592592592592592</v>
      </c>
      <c r="AR102" s="5">
        <f>IFERROR(IF($AR$96="鱼雷机",IF($AR$98="集束雷",IF($AR$97="Ju-87 D-4T0",(AS102-$AT$107)/($AR$99*0.6)+$AT$107/18,(AS102-$AT$106)/($AR$99*0.6)+$AT$106/18),(AS102-2*$AR$99*0.6)/18+2),AS102/($AR$99*0.6)+0.1+0.5+0.3*($AR$98-1)),0)</f>
        <v>5.1888888888888891</v>
      </c>
      <c r="AS102" s="48">
        <f>$AV$108-(-105)</f>
        <v>115</v>
      </c>
    </row>
    <row r="103" spans="32:51" x14ac:dyDescent="0.25">
      <c r="AF103" s="50" t="s">
        <v>112</v>
      </c>
      <c r="AG103" s="1">
        <f t="array" ref="AG103">MIN(IF(AF100:AH100&gt;0,AF100:AH100))</f>
        <v>3.4575163398692812</v>
      </c>
      <c r="AH103" s="9">
        <f t="array" ref="AH103">MAX(IF(AF100:AH100&gt;0,AF100:AH100))</f>
        <v>3.56474358974359</v>
      </c>
      <c r="AI103" s="7"/>
      <c r="AK103" s="8" t="s">
        <v>111</v>
      </c>
      <c r="AL103" s="1">
        <f t="array" ref="AL103">MIN(IF(AK100:AM100&gt;0,AK100:AM100))</f>
        <v>3.4575163398692812</v>
      </c>
      <c r="AM103" s="9">
        <f t="array" ref="AM103">MAX(IF(AK100:AM100&gt;0,AK100:AM100))</f>
        <v>3.56474358974359</v>
      </c>
      <c r="AP103" s="8" t="s">
        <v>111</v>
      </c>
      <c r="AQ103" s="1">
        <f t="array" ref="AQ103">MIN(IF(AP100:AR100&gt;0,AP100:AR100))</f>
        <v>3.9388888888888891</v>
      </c>
      <c r="AR103" s="9">
        <f t="array" ref="AR103">MAX(IF(AP100:AR100&gt;0,AP100:AR100))</f>
        <v>4.0259259259259261</v>
      </c>
    </row>
    <row r="104" spans="32:51" x14ac:dyDescent="0.25">
      <c r="AF104" s="50" t="s">
        <v>113</v>
      </c>
      <c r="AG104" s="1">
        <f t="array" ref="AG104">MIN(IF(AF101:AH101&gt;0,AF101:AH101))</f>
        <v>3.8660130718954253</v>
      </c>
      <c r="AH104" s="9">
        <f t="array" ref="AH104">MAX(IF(AF101:AH101&gt;0,AF101:AH101))</f>
        <v>3.9653846153846155</v>
      </c>
      <c r="AI104" s="7"/>
      <c r="AK104" s="8" t="s">
        <v>136</v>
      </c>
      <c r="AL104" s="1">
        <f t="array" ref="AL104">MIN(IF(AK101:AM101&gt;0,AK101:AM101))</f>
        <v>3.8660130718954253</v>
      </c>
      <c r="AM104" s="9">
        <f t="array" ref="AM104">MAX(IF(AK101:AM101&gt;0,AK101:AM101))</f>
        <v>3.9653846153846155</v>
      </c>
      <c r="AP104" s="8" t="s">
        <v>136</v>
      </c>
      <c r="AQ104" s="1">
        <f t="array" ref="AQ104">MIN(IF(AP101:AR101&gt;0,AP101:AR101))</f>
        <v>4.4888888888888889</v>
      </c>
      <c r="AR104" s="9">
        <f t="array" ref="AR104">MAX(IF(AP101:AR101&gt;0,AP101:AR101))</f>
        <v>4.6333333333333337</v>
      </c>
    </row>
    <row r="105" spans="32:51" ht="14.4" thickBot="1" x14ac:dyDescent="0.3">
      <c r="AF105" s="57" t="s">
        <v>114</v>
      </c>
      <c r="AG105" s="13">
        <f t="array" ref="AG105">MIN(IF(AF102:AH102&gt;0,AF102:AH102))</f>
        <v>4.1928104575163401</v>
      </c>
      <c r="AH105" s="5">
        <f t="array" ref="AH105">MAX(IF(AF102:AH102&gt;0,AF102:AH102))</f>
        <v>4.2858974358974358</v>
      </c>
      <c r="AK105" s="47" t="s">
        <v>137</v>
      </c>
      <c r="AL105" s="13">
        <f t="array" ref="AL105">MIN(IF(AK102:AM102&gt;0,AK102:AM102))</f>
        <v>4.1928104575163401</v>
      </c>
      <c r="AM105" s="5">
        <f t="array" ref="AM105">MAX(IF(AK102:AM102&gt;0,AK102:AM102))</f>
        <v>4.2858974358974358</v>
      </c>
      <c r="AP105" s="8" t="s">
        <v>137</v>
      </c>
      <c r="AQ105" s="1">
        <f t="array" ref="AQ105">MIN(IF(AP102:AR102&gt;0,AP102:AR102))</f>
        <v>4.8592592592592592</v>
      </c>
      <c r="AR105" s="9">
        <f t="array" ref="AR105">MAX(IF(AP102:AR102&gt;0,AP102:AR102))</f>
        <v>5.1888888888888891</v>
      </c>
    </row>
    <row r="106" spans="32:51" x14ac:dyDescent="0.25">
      <c r="AF106" s="8" t="s">
        <v>31</v>
      </c>
      <c r="AG106" s="8" t="s">
        <v>194</v>
      </c>
      <c r="AI106" s="17">
        <v>0.04</v>
      </c>
      <c r="AJ106" s="14" t="s">
        <v>7</v>
      </c>
      <c r="AK106" s="11" t="s">
        <v>223</v>
      </c>
      <c r="AL106" s="17">
        <v>1</v>
      </c>
      <c r="AM106" s="6" t="s">
        <v>0</v>
      </c>
      <c r="AN106" s="11" t="s">
        <v>9</v>
      </c>
      <c r="AO106" s="14">
        <v>8.0000000000000002E-3</v>
      </c>
      <c r="AP106" s="14">
        <v>49</v>
      </c>
      <c r="AQ106" s="14">
        <f>INT(AP106+AP106*3/38*(Sheet1!$J$7-1))</f>
        <v>134</v>
      </c>
      <c r="AR106" s="17">
        <f>AO106*AQ106</f>
        <v>1.0720000000000001</v>
      </c>
      <c r="AS106" s="11" t="s">
        <v>250</v>
      </c>
      <c r="AT106" s="14">
        <v>25</v>
      </c>
      <c r="AU106" s="11" t="s">
        <v>111</v>
      </c>
      <c r="AV106" s="17">
        <v>-12.5</v>
      </c>
      <c r="AW106" s="11" t="s">
        <v>277</v>
      </c>
      <c r="AX106" s="56">
        <v>35</v>
      </c>
      <c r="AY106" s="17">
        <v>0</v>
      </c>
    </row>
    <row r="107" spans="32:51" ht="14.4" thickBot="1" x14ac:dyDescent="0.3">
      <c r="AF107" s="8" t="s">
        <v>31</v>
      </c>
      <c r="AG107" s="8" t="s">
        <v>117</v>
      </c>
      <c r="AI107" s="9">
        <v>0</v>
      </c>
      <c r="AJ107" s="13" t="s">
        <v>8</v>
      </c>
      <c r="AK107" s="8" t="s">
        <v>224</v>
      </c>
      <c r="AL107" s="9">
        <v>1.01</v>
      </c>
      <c r="AM107" s="6" t="s">
        <v>1</v>
      </c>
      <c r="AN107" s="8" t="s">
        <v>10</v>
      </c>
      <c r="AO107" s="1">
        <v>4.0000000000000001E-3</v>
      </c>
      <c r="AP107" s="1">
        <v>49</v>
      </c>
      <c r="AQ107" s="1">
        <f>INT(AP107+AP107*3/38*(Sheet1!$J$7-1))</f>
        <v>134</v>
      </c>
      <c r="AR107" s="9">
        <f>AO107*AQ107</f>
        <v>0.53600000000000003</v>
      </c>
      <c r="AS107" s="47" t="s">
        <v>251</v>
      </c>
      <c r="AT107" s="13">
        <v>19</v>
      </c>
      <c r="AU107" s="8" t="s">
        <v>136</v>
      </c>
      <c r="AV107" s="9">
        <v>0</v>
      </c>
      <c r="AW107" s="8" t="s">
        <v>279</v>
      </c>
      <c r="AX107" s="1">
        <v>0</v>
      </c>
      <c r="AY107" s="9">
        <v>0</v>
      </c>
    </row>
    <row r="108" spans="32:51" ht="14.4" thickBot="1" x14ac:dyDescent="0.3">
      <c r="AF108" s="8" t="s">
        <v>31</v>
      </c>
      <c r="AG108" s="47" t="s">
        <v>195</v>
      </c>
      <c r="AH108" s="13"/>
      <c r="AI108" s="5"/>
      <c r="AK108" s="8" t="s">
        <v>225</v>
      </c>
      <c r="AL108" s="9">
        <v>1.03</v>
      </c>
      <c r="AM108" s="6" t="s">
        <v>2</v>
      </c>
      <c r="AN108" s="57" t="s">
        <v>117</v>
      </c>
      <c r="AO108" s="13">
        <v>0</v>
      </c>
      <c r="AP108" s="13">
        <v>0</v>
      </c>
      <c r="AQ108" s="13">
        <f>INT(AP108+AP108*3/38*(Sheet1!$J$7-1))</f>
        <v>0</v>
      </c>
      <c r="AR108" s="5">
        <f>AO108*AQ108</f>
        <v>0</v>
      </c>
      <c r="AU108" s="47" t="s">
        <v>137</v>
      </c>
      <c r="AV108" s="5">
        <v>10</v>
      </c>
      <c r="AW108" s="47" t="s">
        <v>278</v>
      </c>
      <c r="AX108" s="22">
        <v>0</v>
      </c>
      <c r="AY108" s="161">
        <v>0.15</v>
      </c>
    </row>
    <row r="109" spans="32:51" ht="14.4" thickBot="1" x14ac:dyDescent="0.3">
      <c r="AF109" s="48" t="s">
        <v>31</v>
      </c>
      <c r="AK109" s="8" t="s">
        <v>226</v>
      </c>
      <c r="AL109" s="9">
        <v>1.06</v>
      </c>
      <c r="AM109" s="48" t="s">
        <v>21</v>
      </c>
      <c r="AP109" s="7"/>
    </row>
    <row r="110" spans="32:51" ht="14.4" thickBot="1" x14ac:dyDescent="0.3">
      <c r="AF110" s="11" t="s">
        <v>43</v>
      </c>
      <c r="AG110" s="17">
        <v>0.8</v>
      </c>
      <c r="AK110" s="8" t="s">
        <v>227</v>
      </c>
      <c r="AL110" s="9">
        <v>1.0900000000000001</v>
      </c>
    </row>
    <row r="111" spans="32:51" ht="14.4" thickBot="1" x14ac:dyDescent="0.3">
      <c r="AF111" s="8" t="s">
        <v>44</v>
      </c>
      <c r="AG111" s="9">
        <v>0.88</v>
      </c>
      <c r="AK111" s="47" t="s">
        <v>229</v>
      </c>
      <c r="AL111" s="5">
        <v>1.1200000000000001</v>
      </c>
      <c r="AM111" s="11" t="s">
        <v>0</v>
      </c>
      <c r="AN111" s="49" t="s">
        <v>287</v>
      </c>
      <c r="AO111" s="14">
        <v>4.0000000000000001E-3</v>
      </c>
      <c r="AP111" s="14">
        <v>64</v>
      </c>
      <c r="AQ111" s="14">
        <f>INT(AP111+AP111*3/38*(Sheet1!$J$7-1))</f>
        <v>175</v>
      </c>
      <c r="AR111" s="17">
        <f>AO111*AQ111</f>
        <v>0.70000000000000007</v>
      </c>
    </row>
    <row r="112" spans="32:51" ht="14.4" thickBot="1" x14ac:dyDescent="0.3">
      <c r="AF112" s="8" t="s">
        <v>45</v>
      </c>
      <c r="AG112" s="9">
        <v>0.94</v>
      </c>
      <c r="AM112" s="47" t="s">
        <v>2</v>
      </c>
      <c r="AN112" s="50" t="s">
        <v>292</v>
      </c>
      <c r="AO112" s="1">
        <v>4.0000000000000001E-3</v>
      </c>
      <c r="AP112" s="1">
        <v>48</v>
      </c>
      <c r="AQ112" s="1">
        <f>INT(AP112+AP112*3/38*(Sheet1!$J$7-1))</f>
        <v>131</v>
      </c>
      <c r="AR112" s="9">
        <f>AO112*AQ112</f>
        <v>0.52400000000000002</v>
      </c>
    </row>
    <row r="113" spans="32:44" x14ac:dyDescent="0.25">
      <c r="AF113" s="8" t="s">
        <v>46</v>
      </c>
      <c r="AG113" s="9">
        <v>1.1200000000000001</v>
      </c>
      <c r="AN113" s="50" t="s">
        <v>293</v>
      </c>
      <c r="AO113" s="1">
        <v>8.0000000000000002E-3</v>
      </c>
      <c r="AP113" s="1">
        <v>34</v>
      </c>
      <c r="AQ113" s="1">
        <f>INT(AP113+AP113*3/38*(Sheet1!$J$7-1))</f>
        <v>93</v>
      </c>
      <c r="AR113" s="9">
        <f>AO113*AQ113</f>
        <v>0.74399999999999999</v>
      </c>
    </row>
    <row r="114" spans="32:44" ht="14.4" thickBot="1" x14ac:dyDescent="0.3">
      <c r="AF114" s="47" t="s">
        <v>47</v>
      </c>
      <c r="AG114" s="5">
        <v>1.2</v>
      </c>
      <c r="AN114" s="57" t="s">
        <v>279</v>
      </c>
      <c r="AO114" s="22">
        <v>0</v>
      </c>
      <c r="AP114" s="22">
        <v>0</v>
      </c>
      <c r="AQ114" s="13">
        <f>INT(AP114+AP114*3/38*(Sheet1!$J$7-1))</f>
        <v>0</v>
      </c>
      <c r="AR114" s="5">
        <f>AO114*AQ114</f>
        <v>0</v>
      </c>
    </row>
    <row r="116" spans="32:44" x14ac:dyDescent="0.25">
      <c r="AF116" s="1" t="str">
        <f>Sheet1!A15</f>
        <v>黎塞留</v>
      </c>
    </row>
    <row r="117" spans="32:44" x14ac:dyDescent="0.25">
      <c r="AF117" s="7" t="s">
        <v>280</v>
      </c>
      <c r="AG117" s="1" t="str">
        <f>Sheet1!B16</f>
        <v>誓约200</v>
      </c>
      <c r="AH117" s="1" t="s">
        <v>285</v>
      </c>
      <c r="AI117" s="1">
        <f>VLOOKUP(AF116,BN:BT,7,FALSE)*VLOOKUP(AG117,AK106:AL111,2,FALSE)+VLOOKUP(AF116,BN:BT,6,FALSE)</f>
        <v>176.57472000000001</v>
      </c>
    </row>
    <row r="118" spans="32:44" x14ac:dyDescent="0.25">
      <c r="AF118" s="7" t="s">
        <v>281</v>
      </c>
      <c r="AG118" s="1">
        <f>Sheet1!C16</f>
        <v>120</v>
      </c>
      <c r="AH118" s="1" t="str">
        <f>Sheet1!O15</f>
        <v>装填技能1</v>
      </c>
      <c r="AI118" s="1">
        <f>Sheet1!O16</f>
        <v>0.2</v>
      </c>
    </row>
    <row r="119" spans="32:44" x14ac:dyDescent="0.25">
      <c r="AF119" s="7" t="s">
        <v>282</v>
      </c>
      <c r="AG119" s="1" t="str">
        <f>Sheet1!D16</f>
        <v>MK6-三联装406mm主炮MK6T3</v>
      </c>
      <c r="AH119" s="1" t="str">
        <f>Sheet1!P15</f>
        <v>装填技能2</v>
      </c>
      <c r="AI119" s="1">
        <f>Sheet1!P16</f>
        <v>0</v>
      </c>
    </row>
    <row r="120" spans="32:44" x14ac:dyDescent="0.25">
      <c r="AF120" s="7" t="s">
        <v>283</v>
      </c>
      <c r="AG120" s="1" t="str">
        <f>Sheet1!G16</f>
        <v>金火控</v>
      </c>
      <c r="AH120" s="1">
        <f>VLOOKUP(AG120,AW106:AY108,2,FALSE)</f>
        <v>0</v>
      </c>
      <c r="AI120" s="1">
        <f>VLOOKUP(AG120,AW106:AY108,3,FALSE)</f>
        <v>0.15</v>
      </c>
    </row>
    <row r="121" spans="32:44" x14ac:dyDescent="0.25">
      <c r="AF121" s="7" t="s">
        <v>284</v>
      </c>
      <c r="AG121" s="1" t="str">
        <f>Sheet1!H16</f>
        <v>其他</v>
      </c>
      <c r="AH121" s="1">
        <f>VLOOKUP(AG121,AW106:AY108,2,FALSE)</f>
        <v>0</v>
      </c>
      <c r="AI121" s="1">
        <f>VLOOKUP(AG121,AW106:AY108,3,FALSE)</f>
        <v>0</v>
      </c>
    </row>
    <row r="122" spans="32:44" x14ac:dyDescent="0.25">
      <c r="AF122" s="1" t="s">
        <v>289</v>
      </c>
      <c r="AG122" s="1" t="str">
        <f>Sheet1!I16</f>
        <v>其他</v>
      </c>
      <c r="AH122" s="1" t="s">
        <v>286</v>
      </c>
      <c r="AI122" s="1">
        <f>VLOOKUP(AF116,BN:BV,9,FALSE)+AI120+AI121</f>
        <v>1.1499999999999999</v>
      </c>
    </row>
    <row r="123" spans="32:44" x14ac:dyDescent="0.25">
      <c r="AF123" s="1" t="s">
        <v>288</v>
      </c>
      <c r="AG123" s="1">
        <f>Sheet1!J16</f>
        <v>30</v>
      </c>
      <c r="AH123" s="1" t="s">
        <v>296</v>
      </c>
      <c r="AI123" s="1">
        <f>Sheet1!R16</f>
        <v>0</v>
      </c>
    </row>
    <row r="124" spans="32:44" x14ac:dyDescent="0.25">
      <c r="AF124" s="1" t="s">
        <v>291</v>
      </c>
      <c r="AG124" s="1">
        <f>Sheet1!K16</f>
        <v>3</v>
      </c>
      <c r="AH124" s="1" t="s">
        <v>294</v>
      </c>
      <c r="AI124" s="1">
        <f>VLOOKUP(AG119,BI1:BK12,3,FALSE)*(200/(AG125+100))^0.5</f>
        <v>19.121363000426374</v>
      </c>
    </row>
    <row r="125" spans="32:44" x14ac:dyDescent="0.25">
      <c r="AF125" s="7" t="s">
        <v>290</v>
      </c>
      <c r="AG125" s="1">
        <f>(AI117+AG124+VLOOKUP(AG122,AN111:AR114,5,FALSE)+AH120+AH121)*(1+AI118+AI119+VLOOKUP(AF116,BN:BV,8,FALSE))</f>
        <v>215.489664</v>
      </c>
      <c r="AH125" s="1" t="s">
        <v>295</v>
      </c>
      <c r="AI125" s="1">
        <f>AI124*(1-AI123)+AL2</f>
        <v>19.291363000426376</v>
      </c>
    </row>
    <row r="126" spans="32:44" x14ac:dyDescent="0.25">
      <c r="AH126" s="7" t="s">
        <v>297</v>
      </c>
      <c r="AI126" s="1">
        <f>IF(AI122&gt;=1,2.5,AJ1+AI124*(1-AI123-AI122)+AL2)</f>
        <v>2.5</v>
      </c>
    </row>
    <row r="171" spans="1:4" x14ac:dyDescent="0.25">
      <c r="A171" s="50"/>
      <c r="B171" s="7"/>
      <c r="C171" s="7"/>
      <c r="D171" s="58"/>
    </row>
    <row r="198" spans="2:3" x14ac:dyDescent="0.25">
      <c r="B198" s="83"/>
      <c r="C198" s="83"/>
    </row>
  </sheetData>
  <sortState xmlns:xlrd2="http://schemas.microsoft.com/office/spreadsheetml/2017/richdata2" ref="M1:AA198">
    <sortCondition ref="M1:M198"/>
  </sortState>
  <mergeCells count="21">
    <mergeCell ref="AF58:AF64"/>
    <mergeCell ref="AZ16:AZ17"/>
    <mergeCell ref="BE4:BE9"/>
    <mergeCell ref="AF95:AH95"/>
    <mergeCell ref="AK95:AM95"/>
    <mergeCell ref="AP95:AR95"/>
    <mergeCell ref="AZ4:AZ5"/>
    <mergeCell ref="AZ10:AZ11"/>
    <mergeCell ref="AG40:AG41"/>
    <mergeCell ref="AG23:AG25"/>
    <mergeCell ref="BA4:BD4"/>
    <mergeCell ref="AV10:AY10"/>
    <mergeCell ref="AV4:AY4"/>
    <mergeCell ref="AV16:AY16"/>
    <mergeCell ref="AF53:AF57"/>
    <mergeCell ref="AF27:AF32"/>
    <mergeCell ref="AE4:AE16"/>
    <mergeCell ref="AF19:AF25"/>
    <mergeCell ref="AF42:AF48"/>
    <mergeCell ref="AF33:AF41"/>
    <mergeCell ref="AF49:AF5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12DFD-6F40-4FC2-942F-9B30FFFCA5FD}">
  <dimension ref="A3:W13"/>
  <sheetViews>
    <sheetView workbookViewId="0">
      <selection activeCell="E14" sqref="E14"/>
    </sheetView>
  </sheetViews>
  <sheetFormatPr defaultRowHeight="13.8" x14ac:dyDescent="0.25"/>
  <cols>
    <col min="4" max="4" width="9.109375" bestFit="1" customWidth="1"/>
    <col min="6" max="6" width="9.109375" bestFit="1" customWidth="1"/>
    <col min="8" max="8" width="9.109375" bestFit="1" customWidth="1"/>
    <col min="10" max="10" width="9.109375" bestFit="1" customWidth="1"/>
    <col min="12" max="12" width="9.109375" bestFit="1" customWidth="1"/>
    <col min="14" max="14" width="9.109375" bestFit="1" customWidth="1"/>
    <col min="16" max="16" width="9.109375" bestFit="1" customWidth="1"/>
    <col min="18" max="18" width="9.109375" bestFit="1" customWidth="1"/>
    <col min="20" max="20" width="9.109375" bestFit="1" customWidth="1"/>
    <col min="22" max="22" width="9.109375" bestFit="1" customWidth="1"/>
  </cols>
  <sheetData>
    <row r="3" spans="1:23" x14ac:dyDescent="0.25">
      <c r="A3" s="164"/>
      <c r="B3" s="164" t="s">
        <v>394</v>
      </c>
      <c r="C3" s="164" t="s">
        <v>394</v>
      </c>
      <c r="D3" s="164" t="s">
        <v>395</v>
      </c>
      <c r="E3" s="164" t="s">
        <v>395</v>
      </c>
      <c r="G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</row>
    <row r="4" spans="1:23" x14ac:dyDescent="0.25">
      <c r="B4" s="162">
        <v>18.420000000000002</v>
      </c>
      <c r="C4" s="162">
        <v>18.510000000000002</v>
      </c>
      <c r="D4" s="162">
        <v>18.48</v>
      </c>
      <c r="E4" s="162">
        <v>18.649999999999999</v>
      </c>
      <c r="L4" s="162"/>
      <c r="N4" s="162"/>
      <c r="P4" s="162"/>
      <c r="R4" s="162"/>
      <c r="T4" s="162"/>
      <c r="V4" s="162"/>
    </row>
    <row r="5" spans="1:23" x14ac:dyDescent="0.25">
      <c r="B5">
        <v>299</v>
      </c>
      <c r="C5">
        <v>198</v>
      </c>
      <c r="D5">
        <v>67</v>
      </c>
      <c r="E5">
        <v>134</v>
      </c>
    </row>
    <row r="6" spans="1:23" x14ac:dyDescent="0.25">
      <c r="B6">
        <f>B4+B5/1000</f>
        <v>18.719000000000001</v>
      </c>
      <c r="C6">
        <f>C4+C5/1000</f>
        <v>18.708000000000002</v>
      </c>
      <c r="D6">
        <f>D4+D5/1000</f>
        <v>18.547000000000001</v>
      </c>
      <c r="E6">
        <f>E4+E5/1000</f>
        <v>18.783999999999999</v>
      </c>
    </row>
    <row r="7" spans="1:23" x14ac:dyDescent="0.25">
      <c r="B7" s="163">
        <f>20-B6</f>
        <v>1.2809999999999988</v>
      </c>
      <c r="C7" s="163">
        <f>20-C6</f>
        <v>1.291999999999998</v>
      </c>
      <c r="D7" s="163">
        <f>20-D6</f>
        <v>1.4529999999999994</v>
      </c>
      <c r="E7" s="163">
        <f>20-E6</f>
        <v>1.2160000000000011</v>
      </c>
      <c r="L7" s="163"/>
      <c r="N7" s="163"/>
      <c r="P7" s="163"/>
      <c r="R7" s="163"/>
      <c r="T7" s="163"/>
      <c r="V7" s="163"/>
    </row>
    <row r="9" spans="1:23" x14ac:dyDescent="0.25">
      <c r="A9" s="164"/>
      <c r="B9" s="164" t="s">
        <v>230</v>
      </c>
      <c r="C9" s="164" t="s">
        <v>396</v>
      </c>
      <c r="D9" s="164" t="s">
        <v>397</v>
      </c>
      <c r="E9" s="164" t="s">
        <v>230</v>
      </c>
    </row>
    <row r="10" spans="1:23" x14ac:dyDescent="0.25">
      <c r="B10" s="162">
        <v>18.55</v>
      </c>
      <c r="C10" s="162">
        <v>18.64</v>
      </c>
      <c r="D10" s="162">
        <v>22.15</v>
      </c>
      <c r="E10" s="162">
        <v>18.57</v>
      </c>
    </row>
    <row r="11" spans="1:23" x14ac:dyDescent="0.25">
      <c r="B11">
        <v>126</v>
      </c>
      <c r="C11">
        <v>498</v>
      </c>
      <c r="D11">
        <v>534</v>
      </c>
      <c r="E11">
        <v>50</v>
      </c>
    </row>
    <row r="12" spans="1:23" x14ac:dyDescent="0.25">
      <c r="B12">
        <f>B10+B11/1000</f>
        <v>18.676000000000002</v>
      </c>
      <c r="C12">
        <f>C10+C11/1000</f>
        <v>19.138000000000002</v>
      </c>
      <c r="D12">
        <f>D10+D11/1000</f>
        <v>22.683999999999997</v>
      </c>
      <c r="E12">
        <f>E10+E11/1000</f>
        <v>18.62</v>
      </c>
    </row>
    <row r="13" spans="1:23" x14ac:dyDescent="0.25">
      <c r="B13" s="163">
        <f>20-B12</f>
        <v>1.3239999999999981</v>
      </c>
      <c r="C13" s="163">
        <f>20-C12</f>
        <v>0.86199999999999832</v>
      </c>
      <c r="D13" s="163">
        <f>24-D12</f>
        <v>1.3160000000000025</v>
      </c>
      <c r="E13" s="163">
        <f>20-E12</f>
        <v>1.379999999999999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计算过程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86177</cp:lastModifiedBy>
  <dcterms:created xsi:type="dcterms:W3CDTF">2015-06-05T18:17:20Z</dcterms:created>
  <dcterms:modified xsi:type="dcterms:W3CDTF">2021-08-30T09:00:45Z</dcterms:modified>
</cp:coreProperties>
</file>