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activeTab="1"/>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7" r:id="rId8"/>
    <sheet name="当前时间策略" sheetId="13" r:id="rId9"/>
  </sheets>
  <calcPr calcId="144525"/>
</workbook>
</file>

<file path=xl/sharedStrings.xml><?xml version="1.0" encoding="utf-8"?>
<sst xmlns="http://schemas.openxmlformats.org/spreadsheetml/2006/main" count="772" uniqueCount="381">
  <si>
    <t>表格使用说明</t>
  </si>
  <si>
    <t>点击查看本表格填写的视频介绍</t>
  </si>
  <si>
    <t>必需数据，根据收益分析和实际情况进行调整，由这些数据给出项目排行和收益分析，根据收益来调整倾向数值，得到合适的收益数据</t>
  </si>
  <si>
    <t>左侧含有对表格填写方式的图解分析</t>
  </si>
  <si>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</si>
  <si>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</si>
  <si>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</si>
  <si>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注意！即使你完全不知道性价比参考值之类的数值一开始怎么填写也没有任何关系，只要你根据预计收益和支出与你的期望对比后对倾向进行调整，一开始也可以参考下面的数值参考来填。                                                     当日均消耗物资或者魔方超出预计时，调高省物资或者魔方倾向，反之调低。                       当你觉得每天收菜次数太多，调高平均浪费时间，反之调低。                                   当你觉得彩图产出速度太慢，可以调高彩图与金图之间的兑换比，反之调低。                     当你觉得彩飞机产出速度太慢，可以调高彩飞机与彩图之间的兑换比，反之调低。                   当你想要切魔方来获取心智单元，可以调高缺心智倾向，反之调低。                             当你发现策略过于激进，可以调低过滤门槛（过滤名次数值改高）</t>
  </si>
  <si>
    <t>收益分析，分析投入和收益的数据，如果投入（如收菜次数、魔方物资消耗）和收益不符合期望，则需要对倾向值进行调整</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</si>
  <si>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40%左右</t>
  </si>
  <si>
    <t>项目排行，对当前倾向值下的科研项目进行排行，作为选取项目的指导</t>
  </si>
  <si>
    <t>算收益的时候没有计入维护时科研时间的浪费。所以实际的产出大概率会比拉表所得的数据要低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</si>
  <si>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</si>
  <si>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</si>
  <si>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</si>
  <si>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</si>
  <si>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</si>
  <si>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</si>
  <si>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</si>
  <si>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</si>
  <si>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</si>
  <si>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</si>
  <si>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</si>
  <si>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</si>
  <si>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</si>
  <si>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</si>
  <si>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</si>
  <si>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</si>
  <si>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</si>
  <si>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</si>
  <si>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</si>
  <si>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</si>
  <si>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</si>
  <si>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</si>
  <si>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</si>
  <si>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</si>
  <si>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</si>
  <si>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</si>
  <si>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</si>
  <si>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</si>
  <si>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</si>
  <si>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</si>
  <si>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</si>
  <si>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</si>
  <si>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</si>
  <si>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</si>
  <si>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</si>
  <si>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</si>
  <si>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</si>
  <si>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</si>
  <si>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</si>
  <si>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</si>
  <si>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必需数据</t>
  </si>
  <si>
    <t>白天科研性价比期望</t>
  </si>
  <si>
    <t>性价比参考值</t>
  </si>
  <si>
    <t>手动把参考值手动抄到性价比期望栏目来迭代修正</t>
  </si>
  <si>
    <t>综合性价比</t>
  </si>
  <si>
    <t>如果某个格子填写有问题，会以红色粗体标出</t>
  </si>
  <si>
    <t>夜晚科研性价比期望</t>
  </si>
  <si>
    <t>当前倾向下综合性价比最佳可作为过滤项目参考</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</si>
  <si>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</si>
  <si>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</si>
  <si>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</si>
  <si>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</si>
  <si>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</si>
  <si>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</si>
  <si>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</si>
  <si>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</si>
  <si>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</si>
  <si>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</si>
  <si>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</si>
  <si>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</si>
  <si>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</si>
  <si>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</si>
  <si>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</si>
  <si>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</si>
  <si>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</si>
  <si>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</si>
  <si>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</si>
  <si>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</si>
  <si>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</si>
  <si>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</si>
  <si>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收益分析</t>
  </si>
  <si>
    <t>日均投入时间</t>
  </si>
  <si>
    <t>每日彩飞机收入：</t>
  </si>
  <si>
    <t>全年产量预计</t>
  </si>
  <si>
    <t>白天过滤失败概率</t>
  </si>
  <si>
    <t>日均收菜次数</t>
  </si>
  <si>
    <t>每日彩船图纸收入：</t>
  </si>
  <si>
    <t>彩飞机</t>
  </si>
  <si>
    <t>白天刷新科研概率</t>
  </si>
  <si>
    <t>日均消耗魔方</t>
  </si>
  <si>
    <t>每日金船图纸收入：</t>
  </si>
  <si>
    <t>彩图纸</t>
  </si>
  <si>
    <t>每日使用刷新概率：</t>
  </si>
  <si>
    <t>日均消耗物资</t>
  </si>
  <si>
    <t>每日心智单元收入：</t>
  </si>
  <si>
    <t>金图纸</t>
  </si>
  <si>
    <t>每日过滤失败概率：</t>
  </si>
  <si>
    <t>项目排行</t>
  </si>
  <si>
    <t>白天排行</t>
  </si>
  <si>
    <t>项目排名</t>
  </si>
  <si>
    <t>项目名称</t>
  </si>
  <si>
    <t>是否过滤</t>
  </si>
  <si>
    <t>夜晚排行</t>
  </si>
  <si>
    <r>
      <rPr>
        <sz val="31"/>
        <rFont val="宋体"/>
        <charset val="134"/>
      </rPr>
      <t>参考数据</t>
    </r>
    <r>
      <rPr>
        <sz val="14"/>
        <rFont val="宋体"/>
        <charset val="134"/>
      </rPr>
      <t xml:space="preserve">
</t>
    </r>
  </si>
  <si>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</si>
  <si>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</si>
  <si>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</si>
  <si>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</si>
  <si>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</si>
  <si>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</si>
  <si>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</si>
  <si>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</si>
  <si>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</si>
  <si>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</si>
  <si>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</si>
  <si>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</si>
  <si>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</si>
  <si>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</si>
  <si>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</si>
  <si>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</si>
  <si>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</si>
  <si>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</si>
  <si>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</si>
  <si>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</si>
  <si>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</si>
  <si>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</si>
  <si>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</si>
  <si>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</si>
  <si>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</si>
  <si>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</si>
  <si>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</si>
  <si>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</si>
  <si>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</si>
  <si>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</si>
  <si>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</si>
  <si>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</si>
  <si>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</si>
  <si>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</si>
  <si>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</si>
  <si>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</si>
  <si>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</si>
  <si>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</si>
  <si>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</si>
  <si>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</si>
  <si>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</si>
  <si>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</si>
  <si>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</si>
  <si>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</si>
  <si>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</si>
  <si>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</si>
  <si>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</si>
  <si>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</si>
  <si>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</si>
  <si>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</si>
  <si>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</si>
  <si>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</si>
  <si>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</si>
  <si>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</si>
  <si>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</si>
  <si>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</si>
  <si>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</si>
  <si>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</si>
  <si>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</si>
  <si>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</si>
  <si>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</si>
  <si>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</si>
  <si>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</si>
  <si>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</si>
  <si>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</si>
  <si>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</si>
  <si>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</si>
  <si>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</si>
  <si>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</si>
  <si>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</si>
  <si>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</si>
  <si>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攒天运图纸的同学们注意了，目前彩船天运开放全都在彩船定向追赶150张开启之后，所以算天运图纸            什么时候凑齐的时候最好减去这150张，避免多做D类，少拿天雷</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</si>
  <si>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</si>
  <si>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</si>
  <si>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</si>
  <si>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</si>
  <si>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</si>
  <si>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</si>
  <si>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</si>
  <si>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</si>
  <si>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</si>
  <si>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</si>
  <si>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</si>
  <si>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</si>
  <si>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</si>
  <si>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</si>
  <si>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</si>
  <si>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</si>
  <si>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</si>
  <si>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</si>
  <si>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</si>
  <si>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</si>
  <si>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</si>
  <si>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</si>
  <si>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</si>
  <si>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</si>
  <si>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</si>
  <si>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</si>
  <si>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</si>
  <si>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</si>
  <si>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</si>
  <si>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</si>
  <si>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答应我别再偷了好吗，已经.....偷太多了</t>
  </si>
  <si>
    <t>偷的是彩图，没的是寿命，地球上真的有这么欧的人吗</t>
  </si>
  <si>
    <t>本表基于假设获取天雷数目的概率密度服从正态分布的假设来计算你的欧气情况的。虽然图一乐不过准确性是有的</t>
  </si>
  <si>
    <t>←正态分布频率表</t>
  </si>
  <si>
    <t>魔方解析1h</t>
  </si>
  <si>
    <t>科研优先级</t>
  </si>
  <si>
    <t>项目性价比</t>
  </si>
  <si>
    <t>项目投入资源</t>
  </si>
  <si>
    <t>项目产出</t>
  </si>
  <si>
    <t>支出与收益计算</t>
  </si>
  <si>
    <t>魔方解析2h</t>
  </si>
  <si>
    <t>项目类别</t>
  </si>
  <si>
    <t>时长</t>
  </si>
  <si>
    <t>白天</t>
  </si>
  <si>
    <t>夜间</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</si>
  <si>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</si>
  <si>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</si>
  <si>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</si>
  <si>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</si>
  <si>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</si>
  <si>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</si>
  <si>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</si>
  <si>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</si>
  <si>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</si>
  <si>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</si>
  <si>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</si>
  <si>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</si>
  <si>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</si>
  <si>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</si>
  <si>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</si>
  <si>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</si>
  <si>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</si>
  <si>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</si>
  <si>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</si>
  <si>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</si>
  <si>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</si>
  <si>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</si>
  <si>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</si>
  <si>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</si>
  <si>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</si>
  <si>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</si>
  <si>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</si>
  <si>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</si>
  <si>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</si>
  <si>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</si>
  <si>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</si>
  <si>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</si>
  <si>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</si>
  <si>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</si>
  <si>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</si>
  <si>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</si>
  <si>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</si>
  <si>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</si>
  <si>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</si>
  <si>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</si>
  <si>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</si>
  <si>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</si>
  <si>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</si>
  <si>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</si>
  <si>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</si>
  <si>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</si>
  <si>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</si>
  <si>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</si>
  <si>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</si>
  <si>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</si>
  <si>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</si>
  <si>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</si>
  <si>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</si>
  <si>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</si>
  <si>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4期科研剩余时间产量预计</t>
  </si>
  <si>
    <t>金彩比</t>
  </si>
  <si>
    <t>4期时间</t>
  </si>
  <si>
    <t>p1</t>
  </si>
  <si>
    <t>1-p1</t>
  </si>
  <si>
    <t>σ</t>
  </si>
  <si>
    <t>p2</t>
  </si>
  <si>
    <t>修正</t>
  </si>
  <si>
    <t>方差</t>
  </si>
  <si>
    <t>3西格玛</t>
  </si>
  <si>
    <t>min</t>
  </si>
  <si>
    <t>max</t>
  </si>
  <si>
    <t>实际范围</t>
  </si>
  <si>
    <t>已毕业</t>
  </si>
  <si>
    <t>还差</t>
  </si>
  <si>
    <t>定向</t>
  </si>
  <si>
    <t>随机</t>
  </si>
  <si>
    <t>和</t>
  </si>
  <si>
    <t>彩图产出</t>
  </si>
  <si>
    <t>金图产出</t>
  </si>
  <si>
    <t>1阶段速度</t>
  </si>
  <si>
    <t>2阶段速度</t>
  </si>
  <si>
    <t>3阶段速度</t>
  </si>
  <si>
    <t>1阶段天数</t>
  </si>
  <si>
    <t>2阶段天数</t>
  </si>
  <si>
    <t>3阶段天数</t>
  </si>
  <si>
    <t>剩余总数</t>
  </si>
  <si>
    <t>前3刷出</t>
  </si>
  <si>
    <t>后2刷出</t>
  </si>
  <si>
    <t>无</t>
  </si>
  <si>
    <t>刷出</t>
  </si>
  <si>
    <t>剩余</t>
  </si>
  <si>
    <t>选取率</t>
  </si>
  <si>
    <t>过滤成功率</t>
  </si>
  <si>
    <t>耗时</t>
  </si>
  <si>
    <t>过滤名次</t>
  </si>
  <si>
    <t>过滤失败</t>
  </si>
  <si>
    <t>实际选取率</t>
  </si>
  <si>
    <t>项目支出</t>
  </si>
  <si>
    <t>项目收益</t>
  </si>
  <si>
    <t>支出</t>
  </si>
  <si>
    <t>收益</t>
  </si>
  <si>
    <t>4期金池</t>
  </si>
  <si>
    <t>耗时平均值</t>
  </si>
  <si>
    <t>0次概率</t>
  </si>
  <si>
    <t>失败期望</t>
  </si>
  <si>
    <t>4期彩池</t>
  </si>
  <si>
    <t>科研次数</t>
  </si>
  <si>
    <t>出现期望</t>
  </si>
  <si>
    <t>23期船池</t>
  </si>
  <si>
    <t>项目选取率</t>
  </si>
  <si>
    <t>总收益</t>
  </si>
  <si>
    <t>总支出</t>
  </si>
  <si>
    <t>产出期望</t>
  </si>
  <si>
    <t>期望耗时</t>
  </si>
  <si>
    <t>总时长</t>
  </si>
  <si>
    <t>单次投入</t>
  </si>
  <si>
    <t>投入期望</t>
  </si>
  <si>
    <t>金装备</t>
  </si>
  <si>
    <t>耗魔方</t>
  </si>
  <si>
    <t>其他白嫖科研</t>
  </si>
  <si>
    <t>合计</t>
  </si>
  <si>
    <t>合计选取率</t>
  </si>
  <si>
    <t>合计收入</t>
  </si>
  <si>
    <t>合计支出</t>
  </si>
  <si>
    <t>过滤概率</t>
  </si>
  <si>
    <t>刷新性价比</t>
  </si>
  <si>
    <t>收菜次数</t>
  </si>
  <si>
    <t>次/天</t>
  </si>
  <si>
    <t>每日收益</t>
  </si>
  <si>
    <t>每日投入</t>
  </si>
  <si>
    <t>使用刷新概率</t>
  </si>
  <si>
    <t>单位支出收益</t>
  </si>
  <si>
    <t>过滤失败概率</t>
  </si>
  <si>
    <t>单位时间支出</t>
  </si>
  <si>
    <t>总过滤失败概率</t>
  </si>
  <si>
    <t>单位时间收益</t>
  </si>
  <si>
    <t>使用刷新</t>
  </si>
  <si>
    <t>优先</t>
  </si>
  <si>
    <t>过渡</t>
  </si>
  <si>
    <t>时间过滤</t>
  </si>
  <si>
    <t>是否可接夜间</t>
  </si>
  <si>
    <t>下个科研是否过滤安全</t>
  </si>
  <si>
    <t>安全空余</t>
  </si>
  <si>
    <t>性价比</t>
  </si>
  <si>
    <t>期望性价比</t>
  </si>
  <si>
    <t>点击收益2</t>
  </si>
  <si>
    <t>投入期望3</t>
  </si>
  <si>
    <t>点击收益3</t>
  </si>
  <si>
    <t>实际点击收入</t>
  </si>
  <si>
    <t>全名</t>
  </si>
  <si>
    <t>其他期Q1</t>
  </si>
  <si>
    <t>23期舰装解析1h</t>
  </si>
  <si>
    <t>时间价值</t>
  </si>
  <si>
    <t>白天投入</t>
  </si>
  <si>
    <t>白天产出</t>
  </si>
  <si>
    <t>夜晚投入</t>
  </si>
  <si>
    <t>夜晚产出</t>
  </si>
  <si>
    <t>白天占比</t>
  </si>
  <si>
    <t>夜晚占比</t>
  </si>
  <si>
    <t>刷新次数</t>
  </si>
  <si>
    <t>收益大于0项目</t>
  </si>
  <si>
    <t>安全时间</t>
  </si>
  <si>
    <t>安全概率</t>
  </si>
</sst>
</file>

<file path=xl/styles.xml><?xml version="1.0" encoding="utf-8"?>
<styleSheet xmlns="http://schemas.openxmlformats.org/spreadsheetml/2006/main">
  <numFmts count="19">
    <numFmt numFmtId="176" formatCode="h:mm;@"/>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yyyy&quot;年&quot;m&quot;月&quot;d&quot;日&quot;;@"/>
    <numFmt numFmtId="178" formatCode="0.00_ "/>
    <numFmt numFmtId="179" formatCode="0&quot;小&quot;&quot;时&quot;"/>
    <numFmt numFmtId="180" formatCode="0.000_ "/>
    <numFmt numFmtId="181" formatCode="0_ "/>
    <numFmt numFmtId="182" formatCode="h:mm:ss;@"/>
    <numFmt numFmtId="183" formatCode="0.0000_ "/>
    <numFmt numFmtId="184" formatCode="0.0&quot;天&quot;"/>
    <numFmt numFmtId="185" formatCode="0.00&quot;张&quot;&quot;天&quot;&quot;雷&quot;"/>
    <numFmt numFmtId="186" formatCode="0.000%&quot;的&quot;&quot;玩&quot;&quot;家&quot;"/>
    <numFmt numFmtId="187" formatCode="0.0&quot;次&quot;"/>
    <numFmt numFmtId="188" formatCode="0.00&quot;张&quot;"/>
    <numFmt numFmtId="189" formatCode="0_ &quot;张&quot;"/>
    <numFmt numFmtId="190" formatCode="0.0_ "/>
  </numFmts>
  <fonts count="48">
    <font>
      <sz val="11"/>
      <color theme="1"/>
      <name val="宋体"/>
      <charset val="134"/>
      <scheme val="minor"/>
    </font>
    <font>
      <sz val="12"/>
      <name val="宋体"/>
      <charset val="134"/>
    </font>
    <font>
      <sz val="9"/>
      <color theme="1"/>
      <name val="宋体"/>
      <charset val="134"/>
      <scheme val="minor"/>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4"/>
      <name val="宋体"/>
      <charset val="134"/>
    </font>
    <font>
      <sz val="11"/>
      <name val="宋体"/>
      <charset val="134"/>
    </font>
    <font>
      <sz val="31"/>
      <color theme="1"/>
      <name val="宋体"/>
      <charset val="134"/>
      <scheme val="minor"/>
    </font>
    <font>
      <sz val="31"/>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sz val="11"/>
      <name val="宋体"/>
      <charset val="0"/>
      <scheme val="minor"/>
    </font>
    <font>
      <u/>
      <sz val="11"/>
      <name val="宋体"/>
      <charset val="0"/>
      <scheme val="minor"/>
    </font>
    <font>
      <u/>
      <sz val="11"/>
      <color rgb="FF800080"/>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sz val="14"/>
      <color rgb="FFFF0000"/>
      <name val="宋体"/>
      <charset val="134"/>
      <scheme val="minor"/>
    </font>
    <font>
      <b/>
      <sz val="14"/>
      <color rgb="FFFF0000"/>
      <name val="宋体"/>
      <charset val="134"/>
      <scheme val="minor"/>
    </font>
  </fonts>
  <fills count="49">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DEEAF6"/>
        <bgColor indexed="64"/>
      </patternFill>
    </fill>
    <fill>
      <patternFill patternType="solid">
        <fgColor rgb="FFFFF2CB"/>
        <bgColor indexed="64"/>
      </patternFill>
    </fill>
    <fill>
      <patternFill patternType="solid">
        <fgColor theme="0"/>
        <bgColor indexed="64"/>
      </patternFill>
    </fill>
    <fill>
      <patternFill patternType="solid">
        <fgColor theme="0" tint="-0.0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rgb="FFFF7FFF"/>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25" borderId="0" applyNumberFormat="0" applyBorder="0" applyAlignment="0" applyProtection="0">
      <alignment vertical="center"/>
    </xf>
    <xf numFmtId="0" fontId="33" fillId="28" borderId="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29" borderId="0" applyNumberFormat="0" applyBorder="0" applyAlignment="0" applyProtection="0">
      <alignment vertical="center"/>
    </xf>
    <xf numFmtId="0" fontId="36" fillId="32" borderId="0" applyNumberFormat="0" applyBorder="0" applyAlignment="0" applyProtection="0">
      <alignment vertical="center"/>
    </xf>
    <xf numFmtId="43" fontId="0" fillId="0" borderId="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6" borderId="81" applyNumberFormat="0" applyFont="0" applyAlignment="0" applyProtection="0">
      <alignment vertical="center"/>
    </xf>
    <xf numFmtId="0" fontId="28" fillId="24" borderId="0" applyNumberFormat="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79" applyNumberFormat="0" applyFill="0" applyAlignment="0" applyProtection="0">
      <alignment vertical="center"/>
    </xf>
    <xf numFmtId="0" fontId="39" fillId="0" borderId="79" applyNumberFormat="0" applyFill="0" applyAlignment="0" applyProtection="0">
      <alignment vertical="center"/>
    </xf>
    <xf numFmtId="0" fontId="28" fillId="10" borderId="0" applyNumberFormat="0" applyBorder="0" applyAlignment="0" applyProtection="0">
      <alignment vertical="center"/>
    </xf>
    <xf numFmtId="0" fontId="30" fillId="0" borderId="75" applyNumberFormat="0" applyFill="0" applyAlignment="0" applyProtection="0">
      <alignment vertical="center"/>
    </xf>
    <xf numFmtId="0" fontId="28" fillId="39" borderId="0" applyNumberFormat="0" applyBorder="0" applyAlignment="0" applyProtection="0">
      <alignment vertical="center"/>
    </xf>
    <xf numFmtId="0" fontId="35" fillId="31" borderId="77" applyNumberFormat="0" applyAlignment="0" applyProtection="0">
      <alignment vertical="center"/>
    </xf>
    <xf numFmtId="0" fontId="34" fillId="31" borderId="76" applyNumberFormat="0" applyAlignment="0" applyProtection="0">
      <alignment vertical="center"/>
    </xf>
    <xf numFmtId="0" fontId="38" fillId="34" borderId="78" applyNumberFormat="0" applyAlignment="0" applyProtection="0">
      <alignment vertical="center"/>
    </xf>
    <xf numFmtId="0" fontId="29" fillId="41" borderId="0" applyNumberFormat="0" applyBorder="0" applyAlignment="0" applyProtection="0">
      <alignment vertical="center"/>
    </xf>
    <xf numFmtId="0" fontId="28" fillId="43" borderId="0" applyNumberFormat="0" applyBorder="0" applyAlignment="0" applyProtection="0">
      <alignment vertical="center"/>
    </xf>
    <xf numFmtId="0" fontId="45" fillId="0" borderId="82" applyNumberFormat="0" applyFill="0" applyAlignment="0" applyProtection="0">
      <alignment vertical="center"/>
    </xf>
    <xf numFmtId="0" fontId="41" fillId="0" borderId="80" applyNumberFormat="0" applyFill="0" applyAlignment="0" applyProtection="0">
      <alignment vertical="center"/>
    </xf>
    <xf numFmtId="0" fontId="37" fillId="33" borderId="0" applyNumberFormat="0" applyBorder="0" applyAlignment="0" applyProtection="0">
      <alignment vertical="center"/>
    </xf>
    <xf numFmtId="0" fontId="32" fillId="27" borderId="0" applyNumberFormat="0" applyBorder="0" applyAlignment="0" applyProtection="0">
      <alignment vertical="center"/>
    </xf>
    <xf numFmtId="0" fontId="29" fillId="37" borderId="0" applyNumberFormat="0" applyBorder="0" applyAlignment="0" applyProtection="0">
      <alignment vertical="center"/>
    </xf>
    <xf numFmtId="0" fontId="28" fillId="35" borderId="0" applyNumberFormat="0" applyBorder="0" applyAlignment="0" applyProtection="0">
      <alignment vertical="center"/>
    </xf>
    <xf numFmtId="0" fontId="29" fillId="16" borderId="0" applyNumberFormat="0" applyBorder="0" applyAlignment="0" applyProtection="0">
      <alignment vertical="center"/>
    </xf>
    <xf numFmtId="0" fontId="29" fillId="30" borderId="0" applyNumberFormat="0" applyBorder="0" applyAlignment="0" applyProtection="0">
      <alignment vertical="center"/>
    </xf>
    <xf numFmtId="0" fontId="29" fillId="38" borderId="0" applyNumberFormat="0" applyBorder="0" applyAlignment="0" applyProtection="0">
      <alignment vertical="center"/>
    </xf>
    <xf numFmtId="0" fontId="29" fillId="44" borderId="0" applyNumberFormat="0" applyBorder="0" applyAlignment="0" applyProtection="0">
      <alignment vertical="center"/>
    </xf>
    <xf numFmtId="0" fontId="28" fillId="42" borderId="0" applyNumberFormat="0" applyBorder="0" applyAlignment="0" applyProtection="0">
      <alignment vertical="center"/>
    </xf>
    <xf numFmtId="0" fontId="28" fillId="23" borderId="0" applyNumberFormat="0" applyBorder="0" applyAlignment="0" applyProtection="0">
      <alignment vertical="center"/>
    </xf>
    <xf numFmtId="0" fontId="29" fillId="21" borderId="0" applyNumberFormat="0" applyBorder="0" applyAlignment="0" applyProtection="0">
      <alignment vertical="center"/>
    </xf>
    <xf numFmtId="0" fontId="29" fillId="40" borderId="0" applyNumberFormat="0" applyBorder="0" applyAlignment="0" applyProtection="0">
      <alignment vertical="center"/>
    </xf>
    <xf numFmtId="0" fontId="28" fillId="46" borderId="0" applyNumberFormat="0" applyBorder="0" applyAlignment="0" applyProtection="0">
      <alignment vertical="center"/>
    </xf>
    <xf numFmtId="0" fontId="29" fillId="45" borderId="0" applyNumberFormat="0" applyBorder="0" applyAlignment="0" applyProtection="0">
      <alignment vertical="center"/>
    </xf>
    <xf numFmtId="0" fontId="28" fillId="9" borderId="0" applyNumberFormat="0" applyBorder="0" applyAlignment="0" applyProtection="0">
      <alignment vertical="center"/>
    </xf>
    <xf numFmtId="0" fontId="28" fillId="48" borderId="0" applyNumberFormat="0" applyBorder="0" applyAlignment="0" applyProtection="0">
      <alignment vertical="center"/>
    </xf>
    <xf numFmtId="0" fontId="29" fillId="47" borderId="0" applyNumberFormat="0" applyBorder="0" applyAlignment="0" applyProtection="0">
      <alignment vertical="center"/>
    </xf>
    <xf numFmtId="0" fontId="28" fillId="22" borderId="0" applyNumberFormat="0" applyBorder="0" applyAlignment="0" applyProtection="0">
      <alignment vertical="center"/>
    </xf>
  </cellStyleXfs>
  <cellXfs count="719">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12" xfId="0" applyFont="1" applyBorder="1">
      <alignment vertical="center"/>
    </xf>
    <xf numFmtId="0" fontId="1"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2" fillId="0" borderId="15" xfId="0" applyFont="1" applyBorder="1">
      <alignment vertical="center"/>
    </xf>
    <xf numFmtId="0" fontId="1" fillId="0" borderId="15" xfId="0" applyFont="1" applyFill="1" applyBorder="1" applyAlignment="1">
      <alignment horizontal="lef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2" fillId="0" borderId="15" xfId="0" applyFont="1" applyBorder="1" applyAlignment="1">
      <alignment horizontal="left" vertical="center"/>
    </xf>
    <xf numFmtId="0" fontId="0" fillId="0" borderId="18" xfId="0" applyFill="1" applyBorder="1">
      <alignment vertical="center"/>
    </xf>
    <xf numFmtId="0" fontId="2" fillId="0" borderId="19" xfId="0" applyFont="1" applyBorder="1">
      <alignment vertical="center"/>
    </xf>
    <xf numFmtId="0" fontId="1" fillId="0" borderId="19"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ill="1" applyBorder="1">
      <alignment vertical="center"/>
    </xf>
    <xf numFmtId="0" fontId="0" fillId="0" borderId="19"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left" vertical="center"/>
    </xf>
    <xf numFmtId="0" fontId="0" fillId="0" borderId="27" xfId="0" applyFill="1" applyBorder="1">
      <alignment vertical="center"/>
    </xf>
    <xf numFmtId="0" fontId="0" fillId="0" borderId="28" xfId="0" applyFill="1" applyBorder="1">
      <alignment vertical="center"/>
    </xf>
    <xf numFmtId="0" fontId="0" fillId="0" borderId="16" xfId="0" applyBorder="1">
      <alignment vertical="center"/>
    </xf>
    <xf numFmtId="0" fontId="0" fillId="0" borderId="15"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9" xfId="0" applyBorder="1">
      <alignment vertical="center"/>
    </xf>
    <xf numFmtId="0" fontId="0" fillId="0" borderId="30" xfId="0" applyFill="1" applyBorder="1">
      <alignment vertical="center"/>
    </xf>
    <xf numFmtId="0" fontId="1" fillId="0" borderId="31" xfId="0" applyFont="1" applyFill="1" applyBorder="1" applyAlignment="1">
      <alignment horizontal="left" vertical="center"/>
    </xf>
    <xf numFmtId="0" fontId="0" fillId="0" borderId="32" xfId="0" applyFill="1" applyBorder="1">
      <alignment vertical="center"/>
    </xf>
    <xf numFmtId="0" fontId="1" fillId="0" borderId="33" xfId="0" applyFont="1" applyFill="1" applyBorder="1" applyAlignment="1">
      <alignment horizontal="left" vertical="center"/>
    </xf>
    <xf numFmtId="0" fontId="0" fillId="0" borderId="0" xfId="0" applyBorder="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0" fillId="0" borderId="12" xfId="0" applyFill="1" applyBorder="1" applyAlignment="1">
      <alignment horizontal="centerContinuous" vertical="center"/>
    </xf>
    <xf numFmtId="0" fontId="0" fillId="0" borderId="12" xfId="0" applyFill="1" applyBorder="1" applyAlignment="1">
      <alignment vertical="center"/>
    </xf>
    <xf numFmtId="0" fontId="0" fillId="0" borderId="15" xfId="0" applyFill="1" applyBorder="1" applyAlignment="1">
      <alignment horizontal="centerContinuous" vertical="center"/>
    </xf>
    <xf numFmtId="0" fontId="0" fillId="0" borderId="15" xfId="0" applyFill="1" applyBorder="1" applyAlignment="1">
      <alignment vertical="center"/>
    </xf>
    <xf numFmtId="178" fontId="1" fillId="0" borderId="16" xfId="0" applyNumberFormat="1" applyFont="1" applyFill="1" applyBorder="1" applyAlignment="1">
      <alignment horizontal="left" vertical="center"/>
    </xf>
    <xf numFmtId="178" fontId="1" fillId="0" borderId="15" xfId="0" applyNumberFormat="1" applyFont="1" applyFill="1" applyBorder="1" applyAlignment="1">
      <alignment horizontal="left" vertical="center"/>
    </xf>
    <xf numFmtId="180" fontId="1" fillId="0" borderId="15" xfId="0" applyNumberFormat="1" applyFont="1" applyFill="1" applyBorder="1" applyAlignment="1">
      <alignment horizontal="left" vertical="center"/>
    </xf>
    <xf numFmtId="0" fontId="0" fillId="0" borderId="31" xfId="0" applyFill="1" applyBorder="1">
      <alignment vertical="center"/>
    </xf>
    <xf numFmtId="0" fontId="0" fillId="0" borderId="34" xfId="0" applyFill="1" applyBorder="1">
      <alignment vertical="center"/>
    </xf>
    <xf numFmtId="0" fontId="0" fillId="0" borderId="33" xfId="0" applyFill="1" applyBorder="1">
      <alignment vertical="center"/>
    </xf>
    <xf numFmtId="0" fontId="0" fillId="0" borderId="35" xfId="0" applyFill="1" applyBorder="1">
      <alignment vertical="center"/>
    </xf>
    <xf numFmtId="178" fontId="1" fillId="0" borderId="18" xfId="0" applyNumberFormat="1" applyFont="1" applyFill="1" applyBorder="1" applyAlignment="1">
      <alignment horizontal="left" vertical="center"/>
    </xf>
    <xf numFmtId="178" fontId="1" fillId="0" borderId="19" xfId="0" applyNumberFormat="1" applyFont="1" applyFill="1" applyBorder="1" applyAlignment="1">
      <alignment horizontal="left" vertical="center"/>
    </xf>
    <xf numFmtId="180" fontId="1" fillId="0" borderId="19" xfId="0" applyNumberFormat="1" applyFont="1" applyFill="1" applyBorder="1" applyAlignment="1">
      <alignment horizontal="left" vertical="center"/>
    </xf>
    <xf numFmtId="0" fontId="0" fillId="0" borderId="36" xfId="0" applyBorder="1" applyAlignment="1">
      <alignment horizontal="centerContinuous"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2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8" fontId="0" fillId="0" borderId="15" xfId="0" applyNumberFormat="1" applyFill="1" applyBorder="1">
      <alignment vertical="center"/>
    </xf>
    <xf numFmtId="0" fontId="0" fillId="0" borderId="26" xfId="0"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181" fontId="1" fillId="0" borderId="15" xfId="0" applyNumberFormat="1" applyFont="1" applyFill="1" applyBorder="1" applyAlignment="1">
      <alignment horizontal="left" vertical="center"/>
    </xf>
    <xf numFmtId="181" fontId="1" fillId="0" borderId="19" xfId="0" applyNumberFormat="1"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41" xfId="0" applyFill="1" applyBorder="1">
      <alignment vertical="center"/>
    </xf>
    <xf numFmtId="0" fontId="1" fillId="0" borderId="42" xfId="0" applyFont="1" applyFill="1" applyBorder="1" applyAlignment="1">
      <alignment horizontal="left" vertical="center"/>
    </xf>
    <xf numFmtId="0" fontId="0" fillId="0" borderId="31" xfId="0" applyFill="1" applyBorder="1" applyAlignment="1">
      <alignment horizontal="centerContinuous" vertical="center"/>
    </xf>
    <xf numFmtId="0" fontId="0" fillId="0" borderId="31" xfId="0" applyFill="1" applyBorder="1" applyAlignment="1">
      <alignment vertical="center"/>
    </xf>
    <xf numFmtId="178" fontId="1" fillId="0" borderId="11" xfId="0" applyNumberFormat="1" applyFont="1" applyFill="1" applyBorder="1" applyAlignment="1">
      <alignment horizontal="left" vertical="center"/>
    </xf>
    <xf numFmtId="178" fontId="1" fillId="0" borderId="12" xfId="0" applyNumberFormat="1" applyFont="1" applyFill="1" applyBorder="1" applyAlignment="1">
      <alignment horizontal="left" vertical="center"/>
    </xf>
    <xf numFmtId="180" fontId="1" fillId="0" borderId="12" xfId="0" applyNumberFormat="1" applyFont="1" applyFill="1" applyBorder="1" applyAlignment="1">
      <alignment horizontal="left" vertical="center"/>
    </xf>
    <xf numFmtId="0" fontId="0" fillId="0" borderId="29" xfId="0" applyFill="1" applyBorder="1">
      <alignment vertical="center"/>
    </xf>
    <xf numFmtId="0" fontId="0" fillId="0" borderId="42" xfId="0" applyFill="1" applyBorder="1">
      <alignment vertical="center"/>
    </xf>
    <xf numFmtId="0" fontId="0" fillId="0" borderId="43" xfId="0" applyFill="1" applyBorder="1">
      <alignment vertical="center"/>
    </xf>
    <xf numFmtId="178" fontId="1" fillId="0" borderId="41" xfId="0" applyNumberFormat="1" applyFont="1" applyFill="1" applyBorder="1" applyAlignment="1">
      <alignment horizontal="left" vertical="center"/>
    </xf>
    <xf numFmtId="178" fontId="1" fillId="0" borderId="42" xfId="0" applyNumberFormat="1" applyFont="1" applyFill="1" applyBorder="1" applyAlignment="1">
      <alignment horizontal="left" vertical="center"/>
    </xf>
    <xf numFmtId="180" fontId="1" fillId="0" borderId="42" xfId="0" applyNumberFormat="1" applyFont="1" applyFill="1" applyBorder="1" applyAlignment="1">
      <alignment horizontal="left" vertical="center"/>
    </xf>
    <xf numFmtId="178" fontId="1" fillId="0" borderId="30" xfId="0" applyNumberFormat="1" applyFont="1" applyFill="1" applyBorder="1" applyAlignment="1">
      <alignment horizontal="left" vertical="center"/>
    </xf>
    <xf numFmtId="178" fontId="1" fillId="0" borderId="31" xfId="0" applyNumberFormat="1" applyFont="1" applyFill="1" applyBorder="1" applyAlignment="1">
      <alignment horizontal="left" vertical="center"/>
    </xf>
    <xf numFmtId="180" fontId="1" fillId="0" borderId="31" xfId="0" applyNumberFormat="1" applyFont="1" applyFill="1" applyBorder="1" applyAlignment="1">
      <alignment horizontal="left" vertical="center"/>
    </xf>
    <xf numFmtId="0" fontId="0" fillId="0" borderId="31" xfId="0" applyBorder="1">
      <alignment vertical="center"/>
    </xf>
    <xf numFmtId="178" fontId="0" fillId="0" borderId="42" xfId="0" applyNumberFormat="1" applyFill="1" applyBorder="1">
      <alignment vertical="center"/>
    </xf>
    <xf numFmtId="0" fontId="0" fillId="0" borderId="44" xfId="0" applyFill="1" applyBorder="1">
      <alignment vertical="center"/>
    </xf>
    <xf numFmtId="181" fontId="1" fillId="0" borderId="12" xfId="0" applyNumberFormat="1" applyFont="1" applyFill="1" applyBorder="1" applyAlignment="1">
      <alignment horizontal="left" vertical="center"/>
    </xf>
    <xf numFmtId="181" fontId="1" fillId="0" borderId="42" xfId="0" applyNumberFormat="1" applyFont="1" applyFill="1" applyBorder="1" applyAlignment="1">
      <alignment horizontal="left" vertical="center"/>
    </xf>
    <xf numFmtId="0" fontId="0" fillId="0" borderId="45" xfId="0" applyFill="1" applyBorder="1">
      <alignment vertical="center"/>
    </xf>
    <xf numFmtId="181" fontId="1" fillId="0" borderId="31" xfId="0" applyNumberFormat="1" applyFont="1" applyFill="1" applyBorder="1" applyAlignment="1">
      <alignment horizontal="left" vertical="center"/>
    </xf>
    <xf numFmtId="10" fontId="0" fillId="0" borderId="0" xfId="0" applyNumberFormat="1" applyBorder="1">
      <alignment vertical="center"/>
    </xf>
    <xf numFmtId="0" fontId="1" fillId="2" borderId="36" xfId="0" applyFont="1" applyFill="1" applyBorder="1" applyAlignment="1">
      <alignment horizontal="center" vertical="center"/>
    </xf>
    <xf numFmtId="0" fontId="1" fillId="5" borderId="46" xfId="0" applyFont="1" applyFill="1" applyBorder="1" applyAlignment="1">
      <alignment horizontal="left" vertical="center"/>
    </xf>
    <xf numFmtId="0" fontId="1" fillId="8" borderId="46" xfId="0" applyFont="1" applyFill="1" applyBorder="1" applyAlignment="1">
      <alignment horizontal="left" vertical="center"/>
    </xf>
    <xf numFmtId="0" fontId="1" fillId="6" borderId="47" xfId="0" applyFont="1" applyFill="1" applyBorder="1" applyAlignment="1">
      <alignment horizontal="left" vertical="center"/>
    </xf>
    <xf numFmtId="0" fontId="1" fillId="8" borderId="47" xfId="0" applyFont="1" applyFill="1" applyBorder="1" applyAlignment="1">
      <alignment horizontal="left" vertical="center"/>
    </xf>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8" borderId="48" xfId="0" applyFont="1" applyFill="1" applyBorder="1" applyAlignment="1">
      <alignment horizontal="left" vertical="center"/>
    </xf>
    <xf numFmtId="0" fontId="1" fillId="8" borderId="49" xfId="0" applyFont="1" applyFill="1" applyBorder="1" applyAlignment="1">
      <alignment horizontal="left" vertical="center"/>
    </xf>
    <xf numFmtId="0" fontId="1" fillId="8" borderId="22" xfId="0" applyFont="1" applyFill="1" applyBorder="1" applyAlignment="1">
      <alignment horizontal="left" vertical="center"/>
    </xf>
    <xf numFmtId="0" fontId="1" fillId="8" borderId="5" xfId="0" applyFont="1" applyFill="1" applyBorder="1" applyAlignment="1">
      <alignment horizontal="left" vertical="center"/>
    </xf>
    <xf numFmtId="0" fontId="1" fillId="8" borderId="9" xfId="0" applyFont="1" applyFill="1" applyBorder="1" applyAlignment="1">
      <alignment horizontal="left" vertical="center"/>
    </xf>
    <xf numFmtId="0" fontId="1" fillId="8" borderId="7" xfId="0" applyFont="1" applyFill="1" applyBorder="1" applyAlignment="1">
      <alignment horizontal="left" vertical="center"/>
    </xf>
    <xf numFmtId="0" fontId="1" fillId="8" borderId="50" xfId="0" applyFont="1" applyFill="1" applyBorder="1" applyAlignment="1">
      <alignment horizontal="left" vertical="center"/>
    </xf>
    <xf numFmtId="0" fontId="1" fillId="8" borderId="3" xfId="0" applyFont="1" applyFill="1" applyBorder="1" applyAlignment="1">
      <alignment horizontal="left" vertical="center"/>
    </xf>
    <xf numFmtId="22" fontId="0" fillId="0" borderId="0" xfId="0" applyNumberFormat="1">
      <alignment vertical="center"/>
    </xf>
    <xf numFmtId="182" fontId="0" fillId="0" borderId="0" xfId="0" applyNumberFormat="1">
      <alignment vertical="center"/>
    </xf>
    <xf numFmtId="0" fontId="1" fillId="2" borderId="51"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0"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5"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25" xfId="0" applyFont="1" applyFill="1" applyBorder="1" applyAlignment="1">
      <alignment horizontal="center" vertical="center"/>
    </xf>
    <xf numFmtId="183" fontId="1" fillId="11" borderId="39" xfId="0" applyNumberFormat="1" applyFont="1" applyFill="1" applyBorder="1" applyAlignment="1">
      <alignment horizontal="left" vertical="center"/>
    </xf>
    <xf numFmtId="183" fontId="1" fillId="11" borderId="5" xfId="0" applyNumberFormat="1" applyFont="1" applyFill="1" applyBorder="1" applyAlignment="1">
      <alignment horizontal="left" vertical="center"/>
    </xf>
    <xf numFmtId="181" fontId="1" fillId="12" borderId="41" xfId="0" applyNumberFormat="1" applyFont="1" applyFill="1" applyBorder="1" applyAlignment="1">
      <alignment horizontal="left" vertical="center"/>
    </xf>
    <xf numFmtId="181" fontId="1" fillId="11" borderId="43" xfId="0" applyNumberFormat="1" applyFont="1" applyFill="1" applyBorder="1" applyAlignment="1">
      <alignment horizontal="left" vertical="center"/>
    </xf>
    <xf numFmtId="178" fontId="1" fillId="13" borderId="55" xfId="0" applyNumberFormat="1" applyFont="1" applyFill="1" applyBorder="1" applyAlignment="1">
      <alignment horizontal="left" vertical="center"/>
    </xf>
    <xf numFmtId="178" fontId="1" fillId="13" borderId="0" xfId="0" applyNumberFormat="1" applyFont="1" applyFill="1" applyBorder="1" applyAlignment="1">
      <alignment horizontal="left" vertical="center"/>
    </xf>
    <xf numFmtId="0" fontId="3" fillId="0" borderId="56" xfId="0" applyFont="1" applyBorder="1" applyAlignment="1">
      <alignment horizontal="left" vertical="center"/>
    </xf>
    <xf numFmtId="0" fontId="1" fillId="8" borderId="6" xfId="0" applyFont="1" applyFill="1" applyBorder="1" applyAlignment="1">
      <alignment horizontal="left" vertical="center"/>
    </xf>
    <xf numFmtId="183" fontId="1" fillId="11" borderId="57" xfId="0" applyNumberFormat="1" applyFont="1" applyFill="1" applyBorder="1" applyAlignment="1">
      <alignment horizontal="left" vertical="center"/>
    </xf>
    <xf numFmtId="183" fontId="1" fillId="11" borderId="6" xfId="0" applyNumberFormat="1" applyFont="1" applyFill="1" applyBorder="1" applyAlignment="1">
      <alignment horizontal="left" vertical="center"/>
    </xf>
    <xf numFmtId="181" fontId="1" fillId="12" borderId="16" xfId="0" applyNumberFormat="1" applyFont="1" applyFill="1" applyBorder="1" applyAlignment="1">
      <alignment horizontal="left" vertical="center"/>
    </xf>
    <xf numFmtId="181" fontId="1" fillId="11" borderId="28" xfId="0" applyNumberFormat="1" applyFont="1" applyFill="1" applyBorder="1" applyAlignment="1">
      <alignment horizontal="left" vertical="center"/>
    </xf>
    <xf numFmtId="178" fontId="1" fillId="13" borderId="30" xfId="0" applyNumberFormat="1" applyFont="1" applyFill="1" applyBorder="1" applyAlignment="1">
      <alignment horizontal="left" vertical="center"/>
    </xf>
    <xf numFmtId="178" fontId="1" fillId="13" borderId="58" xfId="0" applyNumberFormat="1" applyFont="1" applyFill="1" applyBorder="1" applyAlignment="1">
      <alignment horizontal="left" vertical="center"/>
    </xf>
    <xf numFmtId="0" fontId="3" fillId="0" borderId="15" xfId="0" applyFont="1" applyBorder="1" applyAlignment="1">
      <alignment horizontal="left" vertical="center"/>
    </xf>
    <xf numFmtId="178" fontId="1" fillId="13" borderId="16" xfId="0" applyNumberFormat="1" applyFont="1" applyFill="1" applyBorder="1" applyAlignment="1">
      <alignment horizontal="left" vertical="center"/>
    </xf>
    <xf numFmtId="178" fontId="1" fillId="13" borderId="57" xfId="0" applyNumberFormat="1" applyFont="1" applyFill="1" applyBorder="1" applyAlignment="1">
      <alignment horizontal="left" vertical="center"/>
    </xf>
    <xf numFmtId="0" fontId="1" fillId="8" borderId="8" xfId="0" applyFont="1" applyFill="1" applyBorder="1" applyAlignment="1">
      <alignment horizontal="left" vertical="center"/>
    </xf>
    <xf numFmtId="183" fontId="1" fillId="11" borderId="59" xfId="0" applyNumberFormat="1" applyFont="1" applyFill="1" applyBorder="1" applyAlignment="1">
      <alignment horizontal="left" vertical="center"/>
    </xf>
    <xf numFmtId="183" fontId="1" fillId="11" borderId="9" xfId="0" applyNumberFormat="1" applyFont="1" applyFill="1" applyBorder="1" applyAlignment="1">
      <alignment horizontal="left" vertical="center"/>
    </xf>
    <xf numFmtId="181" fontId="1" fillId="12" borderId="18" xfId="0" applyNumberFormat="1" applyFont="1" applyFill="1" applyBorder="1" applyAlignment="1">
      <alignment horizontal="left" vertical="center"/>
    </xf>
    <xf numFmtId="181" fontId="1" fillId="11" borderId="29" xfId="0" applyNumberFormat="1" applyFont="1" applyFill="1" applyBorder="1" applyAlignment="1">
      <alignment horizontal="left" vertical="center"/>
    </xf>
    <xf numFmtId="183" fontId="1" fillId="11" borderId="60" xfId="0" applyNumberFormat="1" applyFont="1" applyFill="1" applyBorder="1" applyAlignment="1">
      <alignment horizontal="left" vertical="center"/>
    </xf>
    <xf numFmtId="181" fontId="1" fillId="12" borderId="11" xfId="0" applyNumberFormat="1" applyFont="1" applyFill="1" applyBorder="1" applyAlignment="1">
      <alignment horizontal="left" vertical="center"/>
    </xf>
    <xf numFmtId="181" fontId="1" fillId="11" borderId="27" xfId="0" applyNumberFormat="1" applyFont="1" applyFill="1" applyBorder="1" applyAlignment="1">
      <alignment horizontal="left" vertical="center"/>
    </xf>
    <xf numFmtId="178" fontId="1" fillId="13" borderId="61" xfId="0" applyNumberFormat="1" applyFont="1" applyFill="1" applyBorder="1" applyAlignment="1">
      <alignment horizontal="left" vertical="center"/>
    </xf>
    <xf numFmtId="178" fontId="1" fillId="13" borderId="37" xfId="0" applyNumberFormat="1" applyFont="1" applyFill="1" applyBorder="1" applyAlignment="1">
      <alignment horizontal="left" vertical="center"/>
    </xf>
    <xf numFmtId="178" fontId="1" fillId="13" borderId="62" xfId="0" applyNumberFormat="1" applyFont="1" applyFill="1" applyBorder="1" applyAlignment="1">
      <alignment horizontal="left" vertical="center"/>
    </xf>
    <xf numFmtId="178" fontId="1" fillId="13" borderId="28" xfId="0" applyNumberFormat="1" applyFont="1" applyFill="1" applyBorder="1" applyAlignment="1">
      <alignment horizontal="left" vertical="center"/>
    </xf>
    <xf numFmtId="178" fontId="1" fillId="13" borderId="56" xfId="0" applyNumberFormat="1" applyFont="1" applyFill="1" applyBorder="1" applyAlignment="1">
      <alignment horizontal="left" vertical="center"/>
    </xf>
    <xf numFmtId="183" fontId="1" fillId="11" borderId="58" xfId="0" applyNumberFormat="1" applyFont="1" applyFill="1" applyBorder="1" applyAlignment="1">
      <alignment horizontal="left" vertical="center"/>
    </xf>
    <xf numFmtId="178" fontId="1" fillId="13" borderId="18" xfId="0" applyNumberFormat="1" applyFont="1" applyFill="1" applyBorder="1" applyAlignment="1">
      <alignment horizontal="left" vertical="center"/>
    </xf>
    <xf numFmtId="178" fontId="1" fillId="13" borderId="59" xfId="0" applyNumberFormat="1" applyFont="1" applyFill="1" applyBorder="1" applyAlignment="1">
      <alignment horizontal="left" vertical="center"/>
    </xf>
    <xf numFmtId="178" fontId="1" fillId="13" borderId="29" xfId="0" applyNumberFormat="1" applyFont="1" applyFill="1" applyBorder="1" applyAlignment="1">
      <alignment horizontal="left" vertical="center"/>
    </xf>
    <xf numFmtId="178" fontId="1" fillId="13" borderId="41" xfId="0" applyNumberFormat="1" applyFont="1" applyFill="1" applyBorder="1" applyAlignment="1">
      <alignment horizontal="left" vertical="center"/>
    </xf>
    <xf numFmtId="178" fontId="1" fillId="13" borderId="60" xfId="0" applyNumberFormat="1" applyFont="1" applyFill="1" applyBorder="1" applyAlignment="1">
      <alignment horizontal="left" vertical="center"/>
    </xf>
    <xf numFmtId="178" fontId="1" fillId="13" borderId="43" xfId="0" applyNumberFormat="1" applyFont="1" applyFill="1" applyBorder="1" applyAlignment="1">
      <alignment horizontal="left" vertical="center"/>
    </xf>
    <xf numFmtId="178" fontId="1" fillId="13" borderId="34" xfId="0" applyNumberFormat="1" applyFont="1" applyFill="1" applyBorder="1" applyAlignment="1">
      <alignment horizontal="left" vertical="center"/>
    </xf>
    <xf numFmtId="178" fontId="1" fillId="13" borderId="52" xfId="0" applyNumberFormat="1" applyFont="1" applyFill="1" applyBorder="1" applyAlignment="1">
      <alignment horizontal="left" vertical="center"/>
    </xf>
    <xf numFmtId="178" fontId="1" fillId="13" borderId="25" xfId="0" applyNumberFormat="1" applyFont="1" applyFill="1" applyBorder="1" applyAlignment="1">
      <alignment horizontal="left" vertical="center"/>
    </xf>
    <xf numFmtId="178" fontId="1" fillId="13" borderId="63" xfId="0" applyNumberFormat="1" applyFont="1" applyFill="1" applyBorder="1" applyAlignment="1">
      <alignment horizontal="left" vertical="center"/>
    </xf>
    <xf numFmtId="178" fontId="1" fillId="13" borderId="11" xfId="0" applyNumberFormat="1" applyFont="1" applyFill="1" applyBorder="1" applyAlignment="1">
      <alignment horizontal="left" vertical="center"/>
    </xf>
    <xf numFmtId="178" fontId="1" fillId="13" borderId="39" xfId="0" applyNumberFormat="1" applyFont="1" applyFill="1" applyBorder="1" applyAlignment="1">
      <alignment horizontal="left" vertical="center"/>
    </xf>
    <xf numFmtId="178" fontId="1" fillId="13" borderId="27" xfId="0" applyNumberFormat="1" applyFont="1" applyFill="1" applyBorder="1" applyAlignment="1">
      <alignment horizontal="left" vertical="center"/>
    </xf>
    <xf numFmtId="183" fontId="1" fillId="11" borderId="50" xfId="0" applyNumberFormat="1" applyFont="1" applyFill="1" applyBorder="1" applyAlignment="1">
      <alignment horizontal="left" vertical="center"/>
    </xf>
    <xf numFmtId="183" fontId="1" fillId="11" borderId="1" xfId="0" applyNumberFormat="1" applyFont="1" applyFill="1" applyBorder="1" applyAlignment="1">
      <alignment horizontal="left" vertical="center"/>
    </xf>
    <xf numFmtId="183" fontId="1" fillId="11" borderId="3" xfId="0" applyNumberFormat="1" applyFont="1" applyFill="1" applyBorder="1" applyAlignment="1">
      <alignment horizontal="left" vertical="center"/>
    </xf>
    <xf numFmtId="181" fontId="1" fillId="12" borderId="32" xfId="0" applyNumberFormat="1" applyFont="1" applyFill="1" applyBorder="1" applyAlignment="1">
      <alignment horizontal="left" vertical="center"/>
    </xf>
    <xf numFmtId="181" fontId="1" fillId="11" borderId="35"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7" borderId="5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5" xfId="0" applyFill="1" applyBorder="1">
      <alignment vertical="center"/>
    </xf>
    <xf numFmtId="0" fontId="0" fillId="0" borderId="3" xfId="0" applyBorder="1">
      <alignment vertical="center"/>
    </xf>
    <xf numFmtId="180" fontId="1" fillId="13" borderId="43" xfId="0" applyNumberFormat="1" applyFont="1" applyFill="1" applyBorder="1" applyAlignment="1">
      <alignment horizontal="left" vertical="center"/>
    </xf>
    <xf numFmtId="181" fontId="1" fillId="12" borderId="39" xfId="0" applyNumberFormat="1" applyFont="1" applyFill="1" applyBorder="1" applyAlignment="1">
      <alignment horizontal="left" vertical="center"/>
    </xf>
    <xf numFmtId="178" fontId="1" fillId="12" borderId="27" xfId="0" applyNumberFormat="1" applyFont="1" applyFill="1" applyBorder="1" applyAlignment="1">
      <alignment horizontal="left" vertical="center"/>
    </xf>
    <xf numFmtId="178" fontId="1" fillId="12" borderId="11" xfId="0" applyNumberFormat="1" applyFont="1" applyFill="1" applyBorder="1" applyAlignment="1">
      <alignment horizontal="left" vertical="center"/>
    </xf>
    <xf numFmtId="0" fontId="0" fillId="12" borderId="13" xfId="0" applyFill="1" applyBorder="1">
      <alignment vertical="center"/>
    </xf>
    <xf numFmtId="180" fontId="1" fillId="13" borderId="28" xfId="0" applyNumberFormat="1" applyFont="1" applyFill="1" applyBorder="1" applyAlignment="1">
      <alignment horizontal="left" vertical="center"/>
    </xf>
    <xf numFmtId="181" fontId="1" fillId="12" borderId="60" xfId="0" applyNumberFormat="1" applyFont="1" applyFill="1" applyBorder="1" applyAlignment="1">
      <alignment horizontal="left" vertical="center"/>
    </xf>
    <xf numFmtId="178" fontId="1" fillId="12" borderId="28" xfId="0" applyNumberFormat="1" applyFont="1" applyFill="1" applyBorder="1" applyAlignment="1">
      <alignment horizontal="left" vertical="center"/>
    </xf>
    <xf numFmtId="178" fontId="1" fillId="12" borderId="16" xfId="0" applyNumberFormat="1" applyFont="1" applyFill="1" applyBorder="1" applyAlignment="1">
      <alignment horizontal="left" vertical="center"/>
    </xf>
    <xf numFmtId="0" fontId="0" fillId="12" borderId="17" xfId="0" applyFill="1" applyBorder="1">
      <alignment vertical="center"/>
    </xf>
    <xf numFmtId="180" fontId="1" fillId="13" borderId="29" xfId="0" applyNumberFormat="1" applyFont="1" applyFill="1" applyBorder="1" applyAlignment="1">
      <alignment horizontal="left" vertical="center"/>
    </xf>
    <xf numFmtId="181" fontId="1" fillId="12" borderId="25" xfId="0" applyNumberFormat="1" applyFont="1" applyFill="1" applyBorder="1" applyAlignment="1">
      <alignment horizontal="left" vertical="center"/>
    </xf>
    <xf numFmtId="178" fontId="1" fillId="12" borderId="29" xfId="0" applyNumberFormat="1" applyFont="1" applyFill="1" applyBorder="1" applyAlignment="1">
      <alignment horizontal="left" vertical="center"/>
    </xf>
    <xf numFmtId="178" fontId="1" fillId="12" borderId="30" xfId="0" applyNumberFormat="1" applyFont="1" applyFill="1" applyBorder="1" applyAlignment="1">
      <alignment horizontal="left" vertical="center"/>
    </xf>
    <xf numFmtId="0" fontId="0" fillId="12" borderId="44" xfId="0" applyFill="1" applyBorder="1">
      <alignment vertical="center"/>
    </xf>
    <xf numFmtId="180" fontId="1" fillId="13" borderId="27" xfId="0" applyNumberFormat="1" applyFont="1" applyFill="1" applyBorder="1" applyAlignment="1">
      <alignment horizontal="left" vertical="center"/>
    </xf>
    <xf numFmtId="178" fontId="1" fillId="12" borderId="18" xfId="0" applyNumberFormat="1" applyFont="1" applyFill="1" applyBorder="1" applyAlignment="1">
      <alignment horizontal="left" vertical="center"/>
    </xf>
    <xf numFmtId="0" fontId="0" fillId="12" borderId="20" xfId="0" applyFill="1" applyBorder="1">
      <alignment vertical="center"/>
    </xf>
    <xf numFmtId="178" fontId="1" fillId="12" borderId="41" xfId="0" applyNumberFormat="1" applyFont="1" applyFill="1" applyBorder="1" applyAlignment="1">
      <alignment horizontal="left" vertical="center"/>
    </xf>
    <xf numFmtId="0" fontId="0" fillId="12" borderId="45" xfId="0" applyFill="1" applyBorder="1">
      <alignment vertical="center"/>
    </xf>
    <xf numFmtId="180" fontId="1" fillId="13" borderId="34" xfId="0" applyNumberFormat="1" applyFont="1" applyFill="1" applyBorder="1" applyAlignment="1">
      <alignment horizontal="left" vertical="center"/>
    </xf>
    <xf numFmtId="180" fontId="1" fillId="13" borderId="51" xfId="0" applyNumberFormat="1" applyFont="1" applyFill="1" applyBorder="1" applyAlignment="1">
      <alignment horizontal="left" vertical="center"/>
    </xf>
    <xf numFmtId="181" fontId="1" fillId="12" borderId="51" xfId="0" applyNumberFormat="1" applyFont="1" applyFill="1" applyBorder="1" applyAlignment="1">
      <alignment horizontal="left" vertical="center"/>
    </xf>
    <xf numFmtId="178" fontId="1" fillId="12" borderId="35" xfId="0" applyNumberFormat="1" applyFont="1" applyFill="1" applyBorder="1" applyAlignment="1">
      <alignment horizontal="left" vertical="center"/>
    </xf>
    <xf numFmtId="178" fontId="1" fillId="12" borderId="52" xfId="0" applyNumberFormat="1" applyFont="1" applyFill="1" applyBorder="1" applyAlignment="1">
      <alignment horizontal="left" vertical="center"/>
    </xf>
    <xf numFmtId="0" fontId="0" fillId="12" borderId="53" xfId="0" applyFill="1" applyBorder="1">
      <alignment vertical="center"/>
    </xf>
    <xf numFmtId="22" fontId="0" fillId="0" borderId="0" xfId="0" applyNumberFormat="1" applyAlignment="1">
      <alignment horizontal="center" vertical="center"/>
    </xf>
    <xf numFmtId="184" fontId="0" fillId="0" borderId="0" xfId="0" applyNumberFormat="1" applyAlignment="1">
      <alignment horizontal="center" vertical="center"/>
    </xf>
    <xf numFmtId="0" fontId="0" fillId="13" borderId="0" xfId="0" applyFill="1">
      <alignment vertical="center"/>
    </xf>
    <xf numFmtId="0" fontId="0" fillId="13" borderId="36" xfId="0" applyFill="1" applyBorder="1" applyAlignment="1">
      <alignment horizontal="center" vertical="center"/>
    </xf>
    <xf numFmtId="0" fontId="0" fillId="13" borderId="38" xfId="0" applyFill="1" applyBorder="1" applyAlignment="1">
      <alignment horizontal="center" vertical="center"/>
    </xf>
    <xf numFmtId="0" fontId="0" fillId="13" borderId="4" xfId="0" applyFill="1" applyBorder="1" applyAlignment="1">
      <alignment horizontal="center" vertical="center"/>
    </xf>
    <xf numFmtId="0" fontId="0" fillId="13" borderId="0" xfId="0" applyFill="1" applyAlignment="1">
      <alignment horizontal="left" vertical="center"/>
    </xf>
    <xf numFmtId="0" fontId="0" fillId="13" borderId="46" xfId="0" applyFill="1" applyBorder="1" applyAlignment="1">
      <alignment horizontal="left" vertical="center" indent="1"/>
    </xf>
    <xf numFmtId="0" fontId="0" fillId="13" borderId="66" xfId="0" applyFill="1" applyBorder="1" applyAlignment="1">
      <alignment horizontal="left" vertical="center" indent="1"/>
    </xf>
    <xf numFmtId="0" fontId="0" fillId="13" borderId="5" xfId="0" applyFill="1" applyBorder="1">
      <alignment vertical="center"/>
    </xf>
    <xf numFmtId="0" fontId="0" fillId="13" borderId="67" xfId="0" applyFill="1" applyBorder="1" applyAlignment="1">
      <alignment horizontal="center" vertical="center"/>
    </xf>
    <xf numFmtId="185" fontId="0" fillId="13" borderId="62" xfId="0" applyNumberFormat="1" applyFill="1" applyBorder="1" applyAlignment="1">
      <alignment horizontal="center" vertical="center"/>
    </xf>
    <xf numFmtId="0" fontId="0" fillId="13" borderId="47" xfId="0" applyFill="1" applyBorder="1" applyAlignment="1">
      <alignment horizontal="left" vertical="center" indent="1"/>
    </xf>
    <xf numFmtId="0" fontId="0" fillId="13" borderId="68" xfId="0" applyFill="1" applyBorder="1" applyAlignment="1">
      <alignment horizontal="left" vertical="center" indent="1"/>
    </xf>
    <xf numFmtId="0" fontId="0" fillId="13" borderId="6" xfId="0" applyFill="1" applyBorder="1">
      <alignment vertical="center"/>
    </xf>
    <xf numFmtId="0" fontId="0" fillId="13" borderId="1" xfId="0" applyFill="1" applyBorder="1" applyAlignment="1">
      <alignment horizontal="center" vertical="center"/>
    </xf>
    <xf numFmtId="0" fontId="0" fillId="13" borderId="69" xfId="0" applyFill="1" applyBorder="1" applyAlignment="1">
      <alignment horizontal="center" vertical="center"/>
    </xf>
    <xf numFmtId="186" fontId="0" fillId="13" borderId="35" xfId="0" applyNumberFormat="1" applyFill="1" applyBorder="1" applyAlignment="1">
      <alignment horizontal="center" vertical="center"/>
    </xf>
    <xf numFmtId="0" fontId="0" fillId="13" borderId="51" xfId="0" applyFill="1" applyBorder="1" applyAlignment="1">
      <alignment horizontal="center" vertical="center"/>
    </xf>
    <xf numFmtId="185" fontId="0" fillId="13" borderId="35" xfId="0" applyNumberFormat="1" applyFill="1" applyBorder="1" applyAlignment="1">
      <alignment horizontal="center" vertical="center"/>
    </xf>
    <xf numFmtId="0" fontId="0" fillId="13" borderId="52" xfId="0" applyFill="1" applyBorder="1" applyAlignment="1">
      <alignment horizontal="center" vertical="center"/>
    </xf>
    <xf numFmtId="0" fontId="0" fillId="13" borderId="70" xfId="0" applyFill="1" applyBorder="1" applyAlignment="1">
      <alignment horizontal="center" vertical="center"/>
    </xf>
    <xf numFmtId="0" fontId="0" fillId="13" borderId="48" xfId="0" applyFill="1" applyBorder="1" applyAlignment="1">
      <alignment horizontal="left" vertical="center" indent="1"/>
    </xf>
    <xf numFmtId="0" fontId="0" fillId="13" borderId="71" xfId="0" applyFill="1" applyBorder="1" applyAlignment="1">
      <alignment horizontal="left" vertical="center" indent="1"/>
    </xf>
    <xf numFmtId="0" fontId="0" fillId="13" borderId="8" xfId="0" applyFill="1" applyBorder="1">
      <alignment vertical="center"/>
    </xf>
    <xf numFmtId="0" fontId="0" fillId="13" borderId="0" xfId="0" applyFill="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178" fontId="0" fillId="13" borderId="72" xfId="0" applyNumberFormat="1" applyFill="1" applyBorder="1">
      <alignment vertical="center"/>
    </xf>
    <xf numFmtId="0" fontId="0" fillId="0" borderId="1" xfId="0" applyBorder="1" applyAlignment="1">
      <alignment horizontal="center" vertical="center"/>
    </xf>
    <xf numFmtId="0" fontId="0" fillId="0" borderId="51" xfId="0" applyBorder="1" applyAlignment="1">
      <alignment horizontal="center" vertical="center"/>
    </xf>
    <xf numFmtId="185" fontId="0" fillId="13" borderId="37" xfId="0" applyNumberFormat="1" applyFill="1" applyBorder="1" applyAlignment="1">
      <alignment horizontal="center" vertical="center"/>
    </xf>
    <xf numFmtId="186" fontId="0" fillId="13" borderId="2" xfId="0" applyNumberFormat="1" applyFill="1" applyBorder="1" applyAlignment="1">
      <alignment horizontal="center" vertical="center"/>
    </xf>
    <xf numFmtId="0" fontId="0" fillId="13" borderId="73" xfId="0" applyFill="1" applyBorder="1" applyAlignment="1">
      <alignment horizontal="center" vertical="center"/>
    </xf>
    <xf numFmtId="0" fontId="0" fillId="13" borderId="74" xfId="0" applyFill="1" applyBorder="1" applyAlignment="1">
      <alignment horizontal="center" vertical="center"/>
    </xf>
    <xf numFmtId="185" fontId="0" fillId="13" borderId="2" xfId="0" applyNumberFormat="1" applyFill="1" applyBorder="1" applyAlignment="1">
      <alignment horizontal="center" vertical="center"/>
    </xf>
    <xf numFmtId="0" fontId="0" fillId="13" borderId="24" xfId="0" applyFill="1" applyBorder="1" applyAlignment="1">
      <alignment horizontal="center" vertical="center"/>
    </xf>
    <xf numFmtId="0" fontId="0" fillId="13" borderId="26" xfId="0" applyFill="1" applyBorder="1" applyAlignment="1">
      <alignment horizontal="center" vertical="center"/>
    </xf>
    <xf numFmtId="0" fontId="0" fillId="13" borderId="53" xfId="0" applyFill="1" applyBorder="1" applyAlignment="1">
      <alignment horizontal="center" vertical="center"/>
    </xf>
    <xf numFmtId="0" fontId="0" fillId="0" borderId="2" xfId="0" applyBorder="1" applyAlignment="1">
      <alignment horizontal="center" vertical="center"/>
    </xf>
    <xf numFmtId="178" fontId="0" fillId="0" borderId="0" xfId="0" applyNumberFormat="1">
      <alignment vertical="center"/>
    </xf>
    <xf numFmtId="0" fontId="3" fillId="13"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72" xfId="0" applyFont="1" applyFill="1" applyBorder="1" applyAlignment="1">
      <alignment horizontal="center" vertical="center"/>
    </xf>
    <xf numFmtId="0" fontId="3" fillId="13" borderId="41" xfId="0" applyFont="1" applyFill="1" applyBorder="1">
      <alignment vertical="center"/>
    </xf>
    <xf numFmtId="0" fontId="3" fillId="13" borderId="42" xfId="0" applyFont="1" applyFill="1" applyBorder="1" applyAlignment="1">
      <alignment horizontal="center" vertical="center"/>
    </xf>
    <xf numFmtId="0" fontId="3" fillId="13" borderId="43" xfId="0" applyFont="1" applyFill="1" applyBorder="1" applyAlignment="1">
      <alignment horizontal="center" vertical="center"/>
    </xf>
    <xf numFmtId="177" fontId="3" fillId="13" borderId="45" xfId="0" applyNumberFormat="1" applyFont="1" applyFill="1" applyBorder="1" applyAlignment="1">
      <alignment horizontal="center" vertical="center"/>
    </xf>
    <xf numFmtId="0" fontId="3" fillId="13" borderId="16" xfId="0" applyFont="1" applyFill="1" applyBorder="1">
      <alignment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177" fontId="3" fillId="13" borderId="17" xfId="0" applyNumberFormat="1" applyFont="1" applyFill="1" applyBorder="1" applyAlignment="1">
      <alignment horizontal="center" vertical="center"/>
    </xf>
    <xf numFmtId="0" fontId="3" fillId="13" borderId="18" xfId="0" applyFont="1" applyFill="1" applyBorder="1">
      <alignment vertical="center"/>
    </xf>
    <xf numFmtId="0" fontId="3" fillId="13" borderId="19" xfId="0" applyFont="1" applyFill="1" applyBorder="1" applyAlignment="1">
      <alignment horizontal="center" vertical="center"/>
    </xf>
    <xf numFmtId="0" fontId="3" fillId="13" borderId="29" xfId="0" applyFont="1" applyFill="1" applyBorder="1" applyAlignment="1">
      <alignment horizontal="center" vertical="center"/>
    </xf>
    <xf numFmtId="177" fontId="3" fillId="13" borderId="20" xfId="0" applyNumberFormat="1" applyFont="1" applyFill="1" applyBorder="1" applyAlignment="1">
      <alignment horizontal="center" vertical="center"/>
    </xf>
    <xf numFmtId="0" fontId="3" fillId="13" borderId="1" xfId="0" applyFont="1" applyFill="1" applyBorder="1" applyAlignment="1">
      <alignment horizontal="center" vertical="center"/>
    </xf>
    <xf numFmtId="0" fontId="3" fillId="13" borderId="51" xfId="0" applyFont="1" applyFill="1" applyBorder="1" applyAlignment="1">
      <alignment horizontal="center" vertical="center"/>
    </xf>
    <xf numFmtId="177" fontId="3" fillId="13" borderId="2" xfId="0" applyNumberFormat="1" applyFont="1" applyFill="1" applyBorder="1" applyAlignment="1">
      <alignment horizontal="center" vertical="center"/>
    </xf>
    <xf numFmtId="0" fontId="0" fillId="13" borderId="0" xfId="0" applyFill="1" applyAlignment="1">
      <alignment horizontal="left" vertical="center" wrapText="1"/>
    </xf>
    <xf numFmtId="0" fontId="0" fillId="14" borderId="0" xfId="0" applyFill="1">
      <alignment vertical="center"/>
    </xf>
    <xf numFmtId="0" fontId="0" fillId="13" borderId="4" xfId="0" applyFill="1" applyBorder="1">
      <alignment vertical="center"/>
    </xf>
    <xf numFmtId="0" fontId="0" fillId="13" borderId="37" xfId="0" applyFill="1" applyBorder="1" applyAlignment="1">
      <alignment horizontal="center" vertical="center"/>
    </xf>
    <xf numFmtId="0" fontId="0" fillId="13" borderId="36" xfId="0" applyFill="1" applyBorder="1">
      <alignment vertical="center"/>
    </xf>
    <xf numFmtId="0" fontId="0" fillId="13" borderId="5" xfId="0" applyFill="1" applyBorder="1" applyAlignment="1">
      <alignment horizontal="center" vertical="center"/>
    </xf>
    <xf numFmtId="0" fontId="0" fillId="13" borderId="66" xfId="0" applyFill="1" applyBorder="1" applyAlignment="1">
      <alignment horizontal="center"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5" fillId="13" borderId="36"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0" xfId="0" applyFont="1" applyFill="1" applyBorder="1" applyAlignment="1">
      <alignment horizontal="center" vertical="center"/>
    </xf>
    <xf numFmtId="22" fontId="6" fillId="13" borderId="36" xfId="0" applyNumberFormat="1" applyFont="1" applyFill="1" applyBorder="1" applyAlignment="1">
      <alignment horizontal="center" vertical="center"/>
    </xf>
    <xf numFmtId="22" fontId="6" fillId="13" borderId="37" xfId="0" applyNumberFormat="1" applyFont="1" applyFill="1" applyBorder="1" applyAlignment="1">
      <alignment horizontal="center" vertical="center"/>
    </xf>
    <xf numFmtId="22" fontId="6" fillId="13" borderId="22" xfId="0" applyNumberFormat="1" applyFont="1" applyFill="1" applyBorder="1" applyAlignment="1">
      <alignment horizontal="center" vertical="center"/>
    </xf>
    <xf numFmtId="22" fontId="6" fillId="13" borderId="0" xfId="0" applyNumberFormat="1" applyFont="1" applyFill="1" applyAlignment="1">
      <alignment horizontal="center" vertical="center"/>
    </xf>
    <xf numFmtId="0" fontId="1" fillId="13" borderId="6" xfId="0" applyFont="1" applyFill="1" applyBorder="1" applyAlignment="1">
      <alignment horizontal="right" vertical="center"/>
    </xf>
    <xf numFmtId="22" fontId="6" fillId="13" borderId="24" xfId="0" applyNumberFormat="1" applyFont="1" applyFill="1" applyBorder="1" applyAlignment="1">
      <alignment horizontal="center" vertical="center"/>
    </xf>
    <xf numFmtId="22" fontId="6" fillId="13" borderId="25" xfId="0" applyNumberFormat="1" applyFont="1" applyFill="1" applyBorder="1" applyAlignment="1">
      <alignment horizontal="center" vertical="center"/>
    </xf>
    <xf numFmtId="0" fontId="0" fillId="13" borderId="1" xfId="0" applyFill="1" applyBorder="1">
      <alignment vertical="center"/>
    </xf>
    <xf numFmtId="0" fontId="0" fillId="13" borderId="3" xfId="0" applyFill="1" applyBorder="1" applyAlignment="1">
      <alignment horizontal="center" vertical="center"/>
    </xf>
    <xf numFmtId="0" fontId="1" fillId="13" borderId="1" xfId="0" applyFont="1" applyFill="1" applyBorder="1" applyAlignment="1">
      <alignment horizontal="left" vertical="center"/>
    </xf>
    <xf numFmtId="176" fontId="1" fillId="13" borderId="3" xfId="0" applyNumberFormat="1" applyFont="1" applyFill="1" applyBorder="1" applyAlignment="1">
      <alignment horizontal="center" vertical="center"/>
    </xf>
    <xf numFmtId="0" fontId="0" fillId="13" borderId="8" xfId="0" applyFill="1" applyBorder="1" applyAlignment="1">
      <alignment horizontal="center" vertical="center"/>
    </xf>
    <xf numFmtId="0" fontId="0" fillId="13" borderId="71" xfId="0" applyFill="1" applyBorder="1">
      <alignment vertical="center"/>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3" xfId="0" applyFont="1" applyFill="1" applyBorder="1" applyAlignment="1">
      <alignment horizontal="center" vertical="center" wrapText="1"/>
    </xf>
    <xf numFmtId="0" fontId="7" fillId="13" borderId="22"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26" xfId="0" applyFont="1" applyFill="1" applyBorder="1" applyAlignment="1">
      <alignment horizontal="center" vertical="center"/>
    </xf>
    <xf numFmtId="0" fontId="8" fillId="13" borderId="36" xfId="10" applyFont="1" applyFill="1" applyBorder="1" applyAlignment="1">
      <alignment horizontal="center" vertical="center"/>
    </xf>
    <xf numFmtId="0" fontId="8" fillId="13" borderId="38" xfId="10" applyFont="1" applyFill="1" applyBorder="1" applyAlignment="1">
      <alignment horizontal="center" vertical="center"/>
    </xf>
    <xf numFmtId="0" fontId="8" fillId="13" borderId="22" xfId="10" applyFont="1" applyFill="1" applyBorder="1" applyAlignment="1">
      <alignment horizontal="center" vertical="center"/>
    </xf>
    <xf numFmtId="0" fontId="8" fillId="13" borderId="23" xfId="10" applyFont="1" applyFill="1" applyBorder="1" applyAlignment="1">
      <alignment horizontal="center" vertical="center"/>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13" borderId="24" xfId="10" applyFont="1" applyFill="1" applyBorder="1" applyAlignment="1">
      <alignment horizontal="center" vertical="center"/>
    </xf>
    <xf numFmtId="0" fontId="8" fillId="13" borderId="26" xfId="10" applyFont="1" applyFill="1" applyBorder="1" applyAlignment="1">
      <alignment horizontal="center" vertical="center"/>
    </xf>
    <xf numFmtId="0" fontId="7" fillId="13" borderId="0" xfId="0" applyFont="1" applyFill="1">
      <alignment vertical="center"/>
    </xf>
    <xf numFmtId="0" fontId="1" fillId="13" borderId="0" xfId="0" applyFont="1" applyFill="1" applyBorder="1" applyAlignment="1">
      <alignment vertical="center"/>
    </xf>
    <xf numFmtId="0" fontId="9" fillId="13" borderId="0" xfId="10" applyFont="1" applyFill="1" applyBorder="1" applyAlignment="1">
      <alignment horizontal="centerContinuous" vertical="center"/>
    </xf>
    <xf numFmtId="0" fontId="9" fillId="15" borderId="1" xfId="10" applyFont="1" applyFill="1" applyBorder="1" applyAlignment="1">
      <alignment horizontal="centerContinuous" vertical="center"/>
    </xf>
    <xf numFmtId="0" fontId="9" fillId="15" borderId="2" xfId="10" applyFont="1" applyFill="1" applyBorder="1" applyAlignment="1">
      <alignment horizontal="centerContinuous" vertical="center"/>
    </xf>
    <xf numFmtId="0" fontId="9" fillId="15" borderId="24" xfId="10" applyFont="1" applyFill="1" applyBorder="1" applyAlignment="1">
      <alignment horizontal="centerContinuous" vertical="center"/>
    </xf>
    <xf numFmtId="0" fontId="9" fillId="15" borderId="26" xfId="10" applyFont="1" applyFill="1" applyBorder="1" applyAlignment="1">
      <alignment horizontal="centerContinuous" vertical="center"/>
    </xf>
    <xf numFmtId="0" fontId="1" fillId="0" borderId="0" xfId="0" applyFont="1" applyFill="1" applyBorder="1" applyAlignment="1">
      <alignment vertical="center"/>
    </xf>
    <xf numFmtId="0" fontId="10" fillId="16" borderId="36" xfId="0" applyFont="1" applyFill="1" applyBorder="1" applyAlignment="1">
      <alignment horizontal="centerContinuous" vertical="center"/>
    </xf>
    <xf numFmtId="0" fontId="1" fillId="16" borderId="37" xfId="0" applyFont="1" applyFill="1" applyBorder="1" applyAlignment="1">
      <alignment horizontal="centerContinuous" vertical="center"/>
    </xf>
    <xf numFmtId="0" fontId="1" fillId="16" borderId="24" xfId="0" applyFont="1" applyFill="1" applyBorder="1" applyAlignment="1">
      <alignment horizontal="centerContinuous" vertical="center"/>
    </xf>
    <xf numFmtId="0" fontId="1" fillId="16" borderId="25" xfId="0" applyFont="1" applyFill="1" applyBorder="1" applyAlignment="1">
      <alignment horizontal="centerContinuous" vertical="center"/>
    </xf>
    <xf numFmtId="0" fontId="1" fillId="13" borderId="0" xfId="0" applyFont="1" applyFill="1" applyAlignment="1">
      <alignment vertical="center"/>
    </xf>
    <xf numFmtId="0" fontId="1" fillId="13" borderId="0" xfId="0" applyFont="1" applyFill="1" applyAlignment="1">
      <alignment horizontal="centerContinuous" vertical="center"/>
    </xf>
    <xf numFmtId="0" fontId="11" fillId="13" borderId="0" xfId="0" applyFont="1" applyFill="1" applyAlignment="1">
      <alignment vertical="center"/>
    </xf>
    <xf numFmtId="0" fontId="11" fillId="13" borderId="0" xfId="0" applyFont="1" applyFill="1" applyAlignment="1">
      <alignment horizontal="centerContinuous" vertical="center"/>
    </xf>
    <xf numFmtId="0" fontId="12" fillId="13" borderId="4"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178" fontId="1" fillId="17"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8" fontId="1" fillId="2" borderId="3" xfId="0" applyNumberFormat="1" applyFont="1" applyFill="1" applyBorder="1" applyAlignment="1">
      <alignment vertical="center"/>
    </xf>
    <xf numFmtId="0" fontId="12" fillId="13" borderId="50" xfId="0" applyFont="1" applyFill="1" applyBorder="1" applyAlignment="1">
      <alignment horizontal="center" vertical="center" wrapText="1"/>
    </xf>
    <xf numFmtId="0" fontId="13" fillId="15" borderId="1" xfId="0" applyFont="1" applyFill="1" applyBorder="1" applyAlignment="1">
      <alignment horizontal="center" vertical="center"/>
    </xf>
    <xf numFmtId="0" fontId="13" fillId="15" borderId="2" xfId="0" applyFont="1" applyFill="1" applyBorder="1" applyAlignment="1">
      <alignment horizontal="center" vertical="center"/>
    </xf>
    <xf numFmtId="0" fontId="0" fillId="15" borderId="1" xfId="0" applyFill="1" applyBorder="1" applyAlignment="1">
      <alignment horizontal="centerContinuous" vertical="center"/>
    </xf>
    <xf numFmtId="0" fontId="0" fillId="15" borderId="2" xfId="0" applyFill="1" applyBorder="1" applyAlignment="1">
      <alignment horizontal="centerContinuous" vertical="center"/>
    </xf>
    <xf numFmtId="178" fontId="1" fillId="15" borderId="3" xfId="0" applyNumberFormat="1" applyFont="1" applyFill="1" applyBorder="1" applyAlignment="1">
      <alignment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 fillId="13" borderId="3" xfId="0" applyFont="1" applyFill="1" applyBorder="1" applyAlignment="1">
      <alignment horizontal="left" vertical="center"/>
    </xf>
    <xf numFmtId="181" fontId="1" fillId="13"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5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5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51" xfId="0" applyFont="1" applyFill="1" applyBorder="1" applyAlignment="1">
      <alignment horizontal="center" vertical="center"/>
    </xf>
    <xf numFmtId="0" fontId="1" fillId="18" borderId="1" xfId="0" applyFont="1" applyFill="1" applyBorder="1" applyAlignment="1">
      <alignment horizontal="left" vertical="center"/>
    </xf>
    <xf numFmtId="0" fontId="1" fillId="18" borderId="5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0" fillId="7" borderId="1" xfId="0" applyFill="1" applyBorder="1" applyAlignment="1">
      <alignment horizontal="right" vertical="center"/>
    </xf>
    <xf numFmtId="0" fontId="0" fillId="7" borderId="51" xfId="0" applyFill="1" applyBorder="1" applyAlignment="1">
      <alignment horizontal="right" vertical="center"/>
    </xf>
    <xf numFmtId="0" fontId="3"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51" xfId="0" applyFont="1" applyFill="1" applyBorder="1" applyAlignment="1">
      <alignment horizontal="center" vertical="center"/>
    </xf>
    <xf numFmtId="0" fontId="12" fillId="13" borderId="7" xfId="0" applyFont="1" applyFill="1" applyBorder="1" applyAlignment="1">
      <alignment horizontal="center" vertical="center" wrapText="1"/>
    </xf>
    <xf numFmtId="0" fontId="1" fillId="6" borderId="1" xfId="0" applyFont="1" applyFill="1" applyBorder="1" applyAlignment="1">
      <alignment horizontal="right" vertical="center"/>
    </xf>
    <xf numFmtId="0" fontId="1" fillId="6" borderId="51" xfId="0" applyFont="1" applyFill="1" applyBorder="1" applyAlignment="1">
      <alignment horizontal="right" vertical="center"/>
    </xf>
    <xf numFmtId="0" fontId="1" fillId="6" borderId="37" xfId="0" applyFont="1" applyFill="1" applyBorder="1" applyAlignment="1">
      <alignment vertical="center"/>
    </xf>
    <xf numFmtId="0" fontId="1" fillId="6" borderId="36" xfId="0" applyFont="1" applyFill="1" applyBorder="1" applyAlignment="1">
      <alignment horizontal="center" vertical="center"/>
    </xf>
    <xf numFmtId="0" fontId="1" fillId="6" borderId="38" xfId="0" applyFont="1" applyFill="1" applyBorder="1" applyAlignment="1">
      <alignment horizontal="right" vertical="center"/>
    </xf>
    <xf numFmtId="0" fontId="5" fillId="13" borderId="4" xfId="0" applyFont="1" applyFill="1" applyBorder="1" applyAlignment="1">
      <alignment horizontal="center" vertical="center" wrapText="1"/>
    </xf>
    <xf numFmtId="0" fontId="1" fillId="13" borderId="11" xfId="0" applyFont="1" applyFill="1" applyBorder="1" applyAlignment="1">
      <alignment vertical="center"/>
    </xf>
    <xf numFmtId="0" fontId="1" fillId="13" borderId="12" xfId="0" applyFont="1" applyFill="1" applyBorder="1" applyAlignment="1">
      <alignment vertical="center"/>
    </xf>
    <xf numFmtId="179" fontId="1" fillId="13" borderId="12" xfId="0" applyNumberFormat="1" applyFont="1" applyFill="1" applyBorder="1" applyAlignment="1">
      <alignment horizontal="left" vertical="center"/>
    </xf>
    <xf numFmtId="179" fontId="1" fillId="13" borderId="27" xfId="0" applyNumberFormat="1" applyFont="1" applyFill="1" applyBorder="1" applyAlignment="1">
      <alignment horizontal="left" vertical="center"/>
    </xf>
    <xf numFmtId="0" fontId="1" fillId="13" borderId="46" xfId="0" applyFont="1" applyFill="1" applyBorder="1" applyAlignment="1">
      <alignment vertical="center"/>
    </xf>
    <xf numFmtId="0" fontId="1" fillId="13" borderId="40" xfId="0" applyFont="1" applyFill="1" applyBorder="1" applyAlignment="1">
      <alignment vertical="center"/>
    </xf>
    <xf numFmtId="0" fontId="5" fillId="13" borderId="50" xfId="0" applyFont="1" applyFill="1" applyBorder="1" applyAlignment="1">
      <alignment horizontal="center" vertical="center" wrapText="1"/>
    </xf>
    <xf numFmtId="0" fontId="1" fillId="13" borderId="16" xfId="0" applyFont="1" applyFill="1" applyBorder="1" applyAlignment="1">
      <alignment vertical="center"/>
    </xf>
    <xf numFmtId="0" fontId="1" fillId="13" borderId="15" xfId="0" applyFont="1" applyFill="1" applyBorder="1" applyAlignment="1">
      <alignment vertical="center"/>
    </xf>
    <xf numFmtId="187" fontId="1" fillId="13" borderId="15" xfId="0" applyNumberFormat="1" applyFont="1" applyFill="1" applyBorder="1" applyAlignment="1">
      <alignment horizontal="left" vertical="center"/>
    </xf>
    <xf numFmtId="187" fontId="1" fillId="13" borderId="28" xfId="0" applyNumberFormat="1" applyFont="1" applyFill="1" applyBorder="1" applyAlignment="1">
      <alignment horizontal="left" vertical="center"/>
    </xf>
    <xf numFmtId="0" fontId="1" fillId="13" borderId="47" xfId="0" applyFont="1" applyFill="1" applyBorder="1" applyAlignment="1">
      <alignment vertical="center"/>
    </xf>
    <xf numFmtId="0" fontId="1" fillId="13" borderId="14" xfId="0" applyFont="1" applyFill="1" applyBorder="1" applyAlignment="1">
      <alignment vertical="center"/>
    </xf>
    <xf numFmtId="178" fontId="1" fillId="13" borderId="15" xfId="0" applyNumberFormat="1" applyFont="1" applyFill="1" applyBorder="1" applyAlignment="1">
      <alignment horizontal="left" vertical="center"/>
    </xf>
    <xf numFmtId="0" fontId="5" fillId="13" borderId="7" xfId="0" applyFont="1" applyFill="1" applyBorder="1" applyAlignment="1">
      <alignment horizontal="center" vertical="center" wrapText="1"/>
    </xf>
    <xf numFmtId="0" fontId="1" fillId="13" borderId="18" xfId="0" applyFont="1" applyFill="1" applyBorder="1" applyAlignment="1">
      <alignment vertical="center"/>
    </xf>
    <xf numFmtId="0" fontId="1" fillId="13" borderId="19" xfId="0" applyFont="1" applyFill="1" applyBorder="1" applyAlignment="1">
      <alignment vertical="center"/>
    </xf>
    <xf numFmtId="181" fontId="1" fillId="13" borderId="19" xfId="0" applyNumberFormat="1" applyFont="1" applyFill="1" applyBorder="1" applyAlignment="1">
      <alignment horizontal="left" vertical="center"/>
    </xf>
    <xf numFmtId="181" fontId="1" fillId="13" borderId="29" xfId="0" applyNumberFormat="1"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0" fontId="14" fillId="13" borderId="4" xfId="0" applyFont="1" applyFill="1" applyBorder="1" applyAlignment="1">
      <alignment horizontal="center" vertical="center" wrapText="1"/>
    </xf>
    <xf numFmtId="0" fontId="14" fillId="19" borderId="4" xfId="0" applyFont="1" applyFill="1" applyBorder="1" applyAlignment="1">
      <alignment vertical="center" wrapText="1"/>
    </xf>
    <xf numFmtId="0" fontId="0" fillId="13" borderId="32" xfId="0" applyFill="1" applyBorder="1">
      <alignment vertical="center"/>
    </xf>
    <xf numFmtId="0" fontId="0" fillId="13" borderId="72" xfId="0" applyFill="1" applyBorder="1">
      <alignment vertical="center"/>
    </xf>
    <xf numFmtId="0" fontId="14" fillId="13" borderId="50" xfId="0" applyFont="1" applyFill="1" applyBorder="1" applyAlignment="1">
      <alignment horizontal="center" vertical="center" wrapText="1"/>
    </xf>
    <xf numFmtId="0" fontId="14" fillId="19" borderId="50" xfId="0" applyFont="1" applyFill="1" applyBorder="1">
      <alignment vertical="center"/>
    </xf>
    <xf numFmtId="0" fontId="0" fillId="13" borderId="41" xfId="0" applyFill="1" applyBorder="1">
      <alignment vertical="center"/>
    </xf>
    <xf numFmtId="0" fontId="0" fillId="13" borderId="42" xfId="0" applyFill="1" applyBorder="1" applyAlignment="1">
      <alignment horizontal="center" vertical="center"/>
    </xf>
    <xf numFmtId="0" fontId="0" fillId="13" borderId="45" xfId="0" applyFill="1" applyBorder="1">
      <alignment vertical="center"/>
    </xf>
    <xf numFmtId="0" fontId="0" fillId="13" borderId="16" xfId="0" applyFill="1" applyBorder="1">
      <alignment vertical="center"/>
    </xf>
    <xf numFmtId="0" fontId="0" fillId="13" borderId="15" xfId="0" applyFill="1" applyBorder="1" applyAlignment="1">
      <alignment horizontal="center" vertical="center"/>
    </xf>
    <xf numFmtId="0" fontId="0" fillId="13" borderId="17" xfId="0" applyFill="1" applyBorder="1">
      <alignment vertical="center"/>
    </xf>
    <xf numFmtId="0" fontId="14" fillId="13" borderId="7" xfId="0" applyFont="1" applyFill="1" applyBorder="1" applyAlignment="1">
      <alignment horizontal="center" vertical="center" wrapText="1"/>
    </xf>
    <xf numFmtId="0" fontId="14" fillId="19" borderId="7" xfId="0" applyFont="1" applyFill="1" applyBorder="1">
      <alignment vertical="center"/>
    </xf>
    <xf numFmtId="0" fontId="0" fillId="13" borderId="18" xfId="0" applyFill="1" applyBorder="1">
      <alignment vertical="center"/>
    </xf>
    <xf numFmtId="0" fontId="0" fillId="13" borderId="19" xfId="0" applyFill="1" applyBorder="1" applyAlignment="1">
      <alignment horizontal="center" vertical="center"/>
    </xf>
    <xf numFmtId="0" fontId="0" fillId="13" borderId="20" xfId="0" applyFill="1" applyBorder="1">
      <alignment vertical="center"/>
    </xf>
    <xf numFmtId="0" fontId="15" fillId="13" borderId="4" xfId="0" applyFont="1" applyFill="1" applyBorder="1" applyAlignment="1">
      <alignment horizontal="center" vertical="center" wrapText="1"/>
    </xf>
    <xf numFmtId="0" fontId="12" fillId="13" borderId="22" xfId="0" applyFont="1" applyFill="1" applyBorder="1" applyAlignment="1">
      <alignment horizontal="centerContinuous" vertical="center"/>
    </xf>
    <xf numFmtId="0" fontId="12" fillId="13" borderId="0" xfId="0" applyFont="1" applyFill="1" applyAlignment="1">
      <alignment horizontal="centerContinuous" vertical="center"/>
    </xf>
    <xf numFmtId="0" fontId="12" fillId="13" borderId="50" xfId="0" applyFont="1" applyFill="1" applyBorder="1" applyAlignment="1">
      <alignment horizontal="center" vertical="center"/>
    </xf>
    <xf numFmtId="0" fontId="1" fillId="13" borderId="22" xfId="0" applyFont="1" applyFill="1" applyBorder="1" applyAlignment="1">
      <alignment vertical="center"/>
    </xf>
    <xf numFmtId="0" fontId="1" fillId="13" borderId="24" xfId="0" applyFont="1" applyFill="1" applyBorder="1" applyAlignment="1">
      <alignment vertical="center"/>
    </xf>
    <xf numFmtId="0" fontId="1" fillId="13" borderId="25" xfId="0" applyFont="1" applyFill="1" applyBorder="1" applyAlignment="1">
      <alignment vertical="center"/>
    </xf>
    <xf numFmtId="0" fontId="0" fillId="13" borderId="22" xfId="0" applyFill="1" applyBorder="1">
      <alignment vertical="center"/>
    </xf>
    <xf numFmtId="0" fontId="0" fillId="13" borderId="0" xfId="0" applyFill="1" applyBorder="1">
      <alignment vertical="center"/>
    </xf>
    <xf numFmtId="0" fontId="1" fillId="16" borderId="38" xfId="0" applyFont="1" applyFill="1" applyBorder="1" applyAlignment="1">
      <alignment horizontal="centerContinuous" vertical="center"/>
    </xf>
    <xf numFmtId="0" fontId="16" fillId="13" borderId="0" xfId="0" applyFont="1" applyFill="1" applyBorder="1" applyAlignment="1">
      <alignment horizontal="centerContinuous" vertical="center"/>
    </xf>
    <xf numFmtId="0" fontId="1" fillId="16" borderId="26" xfId="0" applyFont="1" applyFill="1" applyBorder="1" applyAlignment="1">
      <alignment horizontal="centerContinuous" vertical="center"/>
    </xf>
    <xf numFmtId="0" fontId="16" fillId="13" borderId="0" xfId="0" applyFont="1" applyFill="1" applyAlignment="1">
      <alignment horizontal="centerContinuous" vertical="center"/>
    </xf>
    <xf numFmtId="0" fontId="1" fillId="20" borderId="1" xfId="0" applyFont="1" applyFill="1" applyBorder="1" applyAlignment="1">
      <alignment horizontal="center" vertical="center"/>
    </xf>
    <xf numFmtId="0" fontId="1" fillId="20" borderId="2" xfId="0" applyFont="1" applyFill="1" applyBorder="1" applyAlignment="1">
      <alignment horizontal="center" vertical="center"/>
    </xf>
    <xf numFmtId="0" fontId="1" fillId="15" borderId="1" xfId="0" applyFont="1" applyFill="1" applyBorder="1" applyAlignment="1">
      <alignment vertical="center"/>
    </xf>
    <xf numFmtId="0" fontId="1" fillId="15" borderId="51" xfId="0" applyFont="1" applyFill="1" applyBorder="1" applyAlignment="1">
      <alignment vertical="center"/>
    </xf>
    <xf numFmtId="0" fontId="1" fillId="20" borderId="51" xfId="0" applyFont="1" applyFill="1" applyBorder="1" applyAlignment="1">
      <alignment horizontal="center" vertical="center"/>
    </xf>
    <xf numFmtId="0" fontId="13" fillId="2" borderId="5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51" xfId="0" applyFill="1" applyBorder="1" applyAlignment="1">
      <alignment horizontal="center" vertical="center"/>
    </xf>
    <xf numFmtId="0" fontId="1" fillId="0" borderId="38" xfId="0" applyFont="1" applyFill="1" applyBorder="1" applyAlignment="1">
      <alignment horizontal="left" vertical="center"/>
    </xf>
    <xf numFmtId="0" fontId="13" fillId="6" borderId="36" xfId="0" applyFont="1" applyFill="1" applyBorder="1" applyAlignment="1">
      <alignment horizontal="left" vertical="center"/>
    </xf>
    <xf numFmtId="0" fontId="13" fillId="6" borderId="0" xfId="0" applyFont="1" applyFill="1" applyBorder="1" applyAlignment="1">
      <alignment horizontal="left" vertical="center"/>
    </xf>
    <xf numFmtId="0" fontId="1" fillId="6" borderId="24"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7" xfId="0" applyFont="1" applyFill="1" applyBorder="1" applyAlignment="1">
      <alignment horizontal="left" vertical="center"/>
    </xf>
    <xf numFmtId="0" fontId="13" fillId="6" borderId="24" xfId="0" applyFont="1" applyFill="1" applyBorder="1" applyAlignment="1">
      <alignment horizontal="left" vertical="center"/>
    </xf>
    <xf numFmtId="0" fontId="13" fillId="6" borderId="25" xfId="0" applyFont="1" applyFill="1" applyBorder="1" applyAlignment="1">
      <alignment horizontal="left" vertical="center"/>
    </xf>
    <xf numFmtId="188" fontId="1" fillId="13" borderId="27" xfId="0" applyNumberFormat="1" applyFont="1" applyFill="1" applyBorder="1" applyAlignment="1">
      <alignment horizontal="left" vertical="center"/>
    </xf>
    <xf numFmtId="188" fontId="1" fillId="13" borderId="39" xfId="0" applyNumberFormat="1" applyFont="1" applyFill="1" applyBorder="1" applyAlignment="1">
      <alignment horizontal="left" vertical="center"/>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 fillId="13" borderId="38" xfId="0" applyFont="1" applyFill="1" applyBorder="1" applyAlignment="1">
      <alignment horizontal="center" vertical="center"/>
    </xf>
    <xf numFmtId="0" fontId="1" fillId="13" borderId="39" xfId="0" applyFont="1" applyFill="1" applyBorder="1" applyAlignment="1">
      <alignment horizontal="center" vertical="center"/>
    </xf>
    <xf numFmtId="0" fontId="1" fillId="13" borderId="40" xfId="0" applyFont="1" applyFill="1" applyBorder="1" applyAlignment="1">
      <alignment horizontal="center" vertical="center"/>
    </xf>
    <xf numFmtId="188" fontId="1" fillId="13" borderId="28" xfId="0" applyNumberFormat="1" applyFont="1" applyFill="1" applyBorder="1" applyAlignment="1">
      <alignment horizontal="left" vertical="center"/>
    </xf>
    <xf numFmtId="188" fontId="1" fillId="13" borderId="57" xfId="0" applyNumberFormat="1" applyFont="1"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189" fontId="0" fillId="0" borderId="28" xfId="0" applyNumberFormat="1" applyBorder="1" applyAlignment="1">
      <alignment horizontal="center" vertical="center"/>
    </xf>
    <xf numFmtId="189" fontId="0" fillId="0" borderId="68" xfId="0" applyNumberFormat="1" applyBorder="1" applyAlignment="1">
      <alignment horizontal="center" vertical="center"/>
    </xf>
    <xf numFmtId="0" fontId="1" fillId="13" borderId="59" xfId="0" applyFont="1" applyFill="1" applyBorder="1" applyAlignment="1">
      <alignment horizontal="center" vertical="center"/>
    </xf>
    <xf numFmtId="0" fontId="1" fillId="13" borderId="21" xfId="0" applyFont="1" applyFill="1" applyBorder="1" applyAlignment="1">
      <alignment horizontal="center" vertical="center"/>
    </xf>
    <xf numFmtId="188" fontId="1" fillId="13" borderId="15" xfId="0" applyNumberFormat="1" applyFont="1" applyFill="1" applyBorder="1" applyAlignment="1">
      <alignment horizontal="left" vertical="center"/>
    </xf>
    <xf numFmtId="0" fontId="1" fillId="13" borderId="12" xfId="0" applyFont="1" applyFill="1" applyBorder="1" applyAlignment="1">
      <alignment horizontal="center" vertical="center"/>
    </xf>
    <xf numFmtId="190" fontId="0" fillId="0" borderId="29" xfId="0" applyNumberFormat="1" applyBorder="1" applyAlignment="1">
      <alignment horizontal="left" vertical="center"/>
    </xf>
    <xf numFmtId="190" fontId="0" fillId="0" borderId="59" xfId="0" applyNumberForma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189" fontId="0" fillId="0" borderId="29" xfId="0" applyNumberFormat="1" applyBorder="1" applyAlignment="1">
      <alignment horizontal="center" vertical="center"/>
    </xf>
    <xf numFmtId="189" fontId="0" fillId="0" borderId="71" xfId="0" applyNumberFormat="1" applyBorder="1" applyAlignment="1">
      <alignment horizontal="center" vertical="center"/>
    </xf>
    <xf numFmtId="0" fontId="1" fillId="13" borderId="19" xfId="0" applyFont="1" applyFill="1" applyBorder="1" applyAlignment="1">
      <alignment horizontal="center" vertical="center"/>
    </xf>
    <xf numFmtId="0" fontId="14" fillId="15" borderId="4" xfId="0" applyFont="1" applyFill="1" applyBorder="1" applyAlignment="1">
      <alignment vertical="center" wrapText="1"/>
    </xf>
    <xf numFmtId="0" fontId="14" fillId="15" borderId="50" xfId="0" applyFont="1" applyFill="1" applyBorder="1">
      <alignment vertical="center"/>
    </xf>
    <xf numFmtId="0" fontId="14" fillId="15" borderId="7" xfId="0" applyFont="1" applyFill="1" applyBorder="1">
      <alignment vertical="center"/>
    </xf>
    <xf numFmtId="0" fontId="0" fillId="13" borderId="31" xfId="0" applyFill="1" applyBorder="1" applyAlignment="1">
      <alignment horizontal="center" vertical="center"/>
    </xf>
    <xf numFmtId="0" fontId="0" fillId="13" borderId="44" xfId="0" applyFill="1" applyBorder="1">
      <alignment vertical="center"/>
    </xf>
    <xf numFmtId="0" fontId="12" fillId="13" borderId="0" xfId="0" applyFont="1" applyFill="1" applyBorder="1" applyAlignment="1">
      <alignment horizontal="centerContinuous" vertical="center"/>
    </xf>
    <xf numFmtId="0" fontId="12" fillId="13" borderId="37" xfId="0" applyFont="1" applyFill="1" applyBorder="1" applyAlignment="1">
      <alignment horizontal="centerContinuous" vertical="center"/>
    </xf>
    <xf numFmtId="0" fontId="0" fillId="13" borderId="23" xfId="0" applyFill="1" applyBorder="1">
      <alignment vertical="center"/>
    </xf>
    <xf numFmtId="0" fontId="1" fillId="13" borderId="23" xfId="0" applyFont="1" applyFill="1" applyBorder="1" applyAlignment="1">
      <alignment vertical="center"/>
    </xf>
    <xf numFmtId="49" fontId="17" fillId="18" borderId="36" xfId="10" applyNumberFormat="1" applyFont="1" applyFill="1" applyBorder="1" applyAlignment="1">
      <alignment horizontal="center" vertical="center" wrapText="1"/>
    </xf>
    <xf numFmtId="49" fontId="17" fillId="18" borderId="37" xfId="10" applyNumberFormat="1" applyFont="1" applyFill="1" applyBorder="1" applyAlignment="1">
      <alignment horizontal="center" vertical="center"/>
    </xf>
    <xf numFmtId="49" fontId="17" fillId="18" borderId="38" xfId="10" applyNumberFormat="1" applyFont="1" applyFill="1" applyBorder="1" applyAlignment="1">
      <alignment horizontal="center" vertical="center"/>
    </xf>
    <xf numFmtId="49" fontId="17" fillId="18" borderId="24" xfId="10" applyNumberFormat="1" applyFont="1" applyFill="1" applyBorder="1" applyAlignment="1">
      <alignment horizontal="center" vertical="center"/>
    </xf>
    <xf numFmtId="49" fontId="17" fillId="18" borderId="25" xfId="10" applyNumberFormat="1" applyFont="1" applyFill="1" applyBorder="1" applyAlignment="1">
      <alignment horizontal="center" vertical="center"/>
    </xf>
    <xf numFmtId="49" fontId="17" fillId="18" borderId="26" xfId="10" applyNumberFormat="1" applyFont="1" applyFill="1" applyBorder="1" applyAlignment="1">
      <alignment horizontal="center" vertical="center"/>
    </xf>
    <xf numFmtId="0" fontId="18" fillId="13" borderId="36" xfId="10" applyFont="1" applyFill="1" applyBorder="1" applyAlignment="1">
      <alignment horizontal="center" vertical="center" wrapText="1"/>
    </xf>
    <xf numFmtId="0" fontId="18" fillId="13" borderId="38" xfId="10" applyFont="1" applyFill="1" applyBorder="1" applyAlignment="1">
      <alignment horizontal="center" vertical="center" wrapText="1"/>
    </xf>
    <xf numFmtId="0" fontId="18" fillId="13" borderId="22" xfId="10" applyFont="1" applyFill="1" applyBorder="1" applyAlignment="1">
      <alignment horizontal="center" vertical="center" wrapText="1"/>
    </xf>
    <xf numFmtId="0" fontId="18" fillId="13" borderId="23" xfId="10" applyFont="1" applyFill="1" applyBorder="1" applyAlignment="1">
      <alignment horizontal="center" vertical="center" wrapText="1"/>
    </xf>
    <xf numFmtId="0" fontId="1" fillId="2" borderId="2" xfId="0" applyFont="1" applyFill="1" applyBorder="1" applyAlignment="1">
      <alignment horizontal="left" vertical="center"/>
    </xf>
    <xf numFmtId="0" fontId="1" fillId="5" borderId="2" xfId="0" applyFont="1" applyFill="1" applyBorder="1" applyAlignment="1">
      <alignment horizontal="left" vertical="center"/>
    </xf>
    <xf numFmtId="0" fontId="1" fillId="18" borderId="2" xfId="0" applyFont="1" applyFill="1" applyBorder="1" applyAlignment="1">
      <alignment horizontal="left" vertical="center"/>
    </xf>
    <xf numFmtId="0" fontId="1" fillId="4" borderId="38" xfId="0" applyFont="1" applyFill="1" applyBorder="1" applyAlignment="1">
      <alignment horizontal="left" vertical="center"/>
    </xf>
    <xf numFmtId="0" fontId="0" fillId="4" borderId="2" xfId="0" applyFill="1" applyBorder="1" applyAlignment="1">
      <alignment horizontal="center" vertical="center"/>
    </xf>
    <xf numFmtId="0" fontId="13" fillId="6" borderId="26" xfId="0" applyFont="1" applyFill="1" applyBorder="1" applyAlignment="1">
      <alignment horizontal="left" vertical="center"/>
    </xf>
    <xf numFmtId="0" fontId="18" fillId="13" borderId="24" xfId="10" applyFont="1" applyFill="1" applyBorder="1" applyAlignment="1">
      <alignment horizontal="center" vertical="center" wrapText="1"/>
    </xf>
    <xf numFmtId="0" fontId="18" fillId="13" borderId="26" xfId="10" applyFont="1" applyFill="1" applyBorder="1" applyAlignment="1">
      <alignment horizontal="center" vertical="center" wrapText="1"/>
    </xf>
    <xf numFmtId="10" fontId="1" fillId="13" borderId="13" xfId="0" applyNumberFormat="1" applyFont="1" applyFill="1" applyBorder="1" applyAlignment="1">
      <alignment vertical="center"/>
    </xf>
    <xf numFmtId="0" fontId="12" fillId="13" borderId="37" xfId="0" applyFont="1" applyFill="1" applyBorder="1" applyAlignment="1">
      <alignment horizontal="center" vertical="center" wrapText="1"/>
    </xf>
    <xf numFmtId="0" fontId="12" fillId="13" borderId="38" xfId="0" applyFont="1" applyFill="1" applyBorder="1" applyAlignment="1">
      <alignment horizontal="center" vertical="center" wrapText="1"/>
    </xf>
    <xf numFmtId="10" fontId="1" fillId="13" borderId="20" xfId="0" applyNumberFormat="1" applyFont="1" applyFill="1" applyBorder="1" applyAlignment="1">
      <alignment vertical="center"/>
    </xf>
    <xf numFmtId="0" fontId="12" fillId="13" borderId="25" xfId="0" applyFont="1" applyFill="1" applyBorder="1" applyAlignment="1">
      <alignment horizontal="center" vertical="center" wrapText="1"/>
    </xf>
    <xf numFmtId="0" fontId="12" fillId="13" borderId="26" xfId="0" applyFont="1" applyFill="1" applyBorder="1" applyAlignment="1">
      <alignment horizontal="center" vertical="center" wrapText="1"/>
    </xf>
    <xf numFmtId="10" fontId="1" fillId="13" borderId="13" xfId="0" applyNumberFormat="1" applyFont="1" applyFill="1" applyBorder="1" applyAlignment="1">
      <alignment horizontal="center" vertical="center"/>
    </xf>
    <xf numFmtId="10" fontId="1" fillId="13" borderId="20" xfId="0" applyNumberFormat="1" applyFont="1" applyFill="1" applyBorder="1" applyAlignment="1">
      <alignment horizontal="center" vertical="center"/>
    </xf>
    <xf numFmtId="0" fontId="19" fillId="13" borderId="0" xfId="0" applyFont="1" applyFill="1" applyAlignment="1">
      <alignment horizontal="center" vertical="center" wrapText="1"/>
    </xf>
    <xf numFmtId="0" fontId="12" fillId="13" borderId="0" xfId="0" applyFont="1" applyFill="1" applyBorder="1" applyAlignment="1">
      <alignment horizontal="center" vertical="center" wrapText="1"/>
    </xf>
    <xf numFmtId="0" fontId="0" fillId="13" borderId="30" xfId="0" applyFill="1" applyBorder="1">
      <alignment vertical="center"/>
    </xf>
    <xf numFmtId="0" fontId="12" fillId="13" borderId="38" xfId="0" applyFont="1" applyFill="1" applyBorder="1" applyAlignment="1">
      <alignment horizontal="centerContinuous" vertical="center"/>
    </xf>
    <xf numFmtId="0" fontId="19" fillId="13" borderId="0" xfId="0" applyFont="1" applyFill="1" applyAlignment="1">
      <alignment vertical="center" wrapText="1"/>
    </xf>
    <xf numFmtId="0" fontId="1" fillId="13" borderId="26" xfId="0" applyFont="1" applyFill="1" applyBorder="1" applyAlignment="1">
      <alignment vertical="center"/>
    </xf>
    <xf numFmtId="0" fontId="5" fillId="13" borderId="38" xfId="0" applyFont="1" applyFill="1" applyBorder="1" applyAlignment="1">
      <alignment horizontal="center" vertical="center"/>
    </xf>
    <xf numFmtId="0" fontId="20" fillId="13" borderId="0" xfId="0" applyFont="1" applyFill="1" applyBorder="1" applyAlignment="1">
      <alignment vertical="center"/>
    </xf>
    <xf numFmtId="0" fontId="21" fillId="13" borderId="36" xfId="0" applyFont="1" applyFill="1" applyBorder="1">
      <alignment vertical="center"/>
    </xf>
    <xf numFmtId="0" fontId="21" fillId="13" borderId="37" xfId="0" applyFont="1" applyFill="1" applyBorder="1">
      <alignment vertical="center"/>
    </xf>
    <xf numFmtId="0" fontId="20" fillId="13" borderId="37" xfId="0" applyFont="1" applyFill="1" applyBorder="1" applyAlignment="1">
      <alignment vertical="center"/>
    </xf>
    <xf numFmtId="0" fontId="21" fillId="13" borderId="22" xfId="0" applyFont="1" applyFill="1" applyBorder="1">
      <alignment vertical="center"/>
    </xf>
    <xf numFmtId="0" fontId="21" fillId="13" borderId="0" xfId="0" applyFont="1" applyFill="1">
      <alignment vertical="center"/>
    </xf>
    <xf numFmtId="0" fontId="12" fillId="13" borderId="7" xfId="0" applyFont="1" applyFill="1" applyBorder="1" applyAlignment="1">
      <alignment horizontal="center" vertical="center"/>
    </xf>
    <xf numFmtId="0" fontId="21" fillId="13" borderId="24" xfId="0" applyFont="1" applyFill="1" applyBorder="1">
      <alignment vertical="center"/>
    </xf>
    <xf numFmtId="0" fontId="21" fillId="13" borderId="25" xfId="0" applyFont="1" applyFill="1" applyBorder="1">
      <alignment vertical="center"/>
    </xf>
    <xf numFmtId="0" fontId="20" fillId="13" borderId="25" xfId="0" applyFont="1" applyFill="1" applyBorder="1" applyAlignment="1">
      <alignment vertical="center"/>
    </xf>
    <xf numFmtId="178"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13" borderId="1" xfId="0" applyFont="1" applyFill="1" applyBorder="1" applyAlignment="1">
      <alignment vertical="center"/>
    </xf>
    <xf numFmtId="0" fontId="1" fillId="13" borderId="3" xfId="0" applyFont="1" applyFill="1" applyBorder="1" applyAlignment="1">
      <alignment vertical="center"/>
    </xf>
    <xf numFmtId="0" fontId="1" fillId="21" borderId="3" xfId="0" applyFont="1" applyFill="1" applyBorder="1" applyAlignment="1">
      <alignment vertical="center"/>
    </xf>
    <xf numFmtId="0" fontId="1" fillId="0" borderId="3" xfId="0" applyFont="1" applyFill="1" applyBorder="1" applyAlignment="1">
      <alignment vertical="center"/>
    </xf>
    <xf numFmtId="0" fontId="1" fillId="13" borderId="51" xfId="0" applyFont="1" applyFill="1" applyBorder="1" applyAlignment="1">
      <alignment vertical="center"/>
    </xf>
    <xf numFmtId="0" fontId="1" fillId="12" borderId="3" xfId="0" applyFont="1" applyFill="1" applyBorder="1" applyAlignment="1">
      <alignment vertical="center"/>
    </xf>
    <xf numFmtId="0" fontId="1" fillId="12" borderId="1" xfId="0" applyFont="1" applyFill="1" applyBorder="1" applyAlignment="1">
      <alignment vertical="center"/>
    </xf>
    <xf numFmtId="0" fontId="1" fillId="12" borderId="51" xfId="0" applyFont="1" applyFill="1" applyBorder="1" applyAlignment="1">
      <alignment vertical="center"/>
    </xf>
    <xf numFmtId="0" fontId="1" fillId="12" borderId="2" xfId="0" applyFont="1" applyFill="1" applyBorder="1" applyAlignment="1">
      <alignment vertical="center"/>
    </xf>
    <xf numFmtId="0" fontId="1"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22" xfId="0" applyFont="1" applyFill="1" applyBorder="1" applyAlignment="1">
      <alignment vertical="center" wrapText="1"/>
    </xf>
    <xf numFmtId="0" fontId="21" fillId="13"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2" xfId="0" applyFont="1" applyFill="1" applyBorder="1" applyAlignment="1">
      <alignment vertical="center"/>
    </xf>
    <xf numFmtId="0" fontId="1" fillId="0" borderId="51" xfId="0" applyFont="1" applyFill="1" applyBorder="1" applyAlignment="1">
      <alignment vertical="center"/>
    </xf>
    <xf numFmtId="0" fontId="0" fillId="0" borderId="4" xfId="0" applyBorder="1">
      <alignment vertical="center"/>
    </xf>
    <xf numFmtId="0" fontId="0" fillId="0" borderId="7" xfId="0" applyBorder="1">
      <alignment vertical="center"/>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38" xfId="0" applyFont="1" applyFill="1" applyBorder="1" applyAlignment="1">
      <alignment vertical="center" wrapText="1"/>
    </xf>
    <xf numFmtId="0" fontId="1" fillId="0" borderId="23" xfId="0" applyFont="1" applyFill="1" applyBorder="1" applyAlignment="1">
      <alignment vertical="center" wrapText="1"/>
    </xf>
    <xf numFmtId="0" fontId="20" fillId="13" borderId="38" xfId="0" applyFont="1" applyFill="1" applyBorder="1" applyAlignment="1">
      <alignment vertical="center"/>
    </xf>
    <xf numFmtId="0" fontId="20" fillId="13" borderId="23" xfId="0" applyFont="1" applyFill="1" applyBorder="1" applyAlignment="1">
      <alignment vertical="center"/>
    </xf>
    <xf numFmtId="0" fontId="20" fillId="13" borderId="26" xfId="0" applyFont="1" applyFill="1" applyBorder="1" applyAlignment="1">
      <alignment vertical="center"/>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22" fillId="13" borderId="0" xfId="0" applyFont="1" applyFill="1" applyBorder="1" applyAlignment="1">
      <alignment vertical="center"/>
    </xf>
    <xf numFmtId="0" fontId="22" fillId="13" borderId="36" xfId="0" applyFont="1" applyFill="1" applyBorder="1" applyAlignment="1">
      <alignment vertical="center"/>
    </xf>
    <xf numFmtId="0" fontId="22" fillId="13" borderId="37" xfId="0" applyFont="1" applyFill="1" applyBorder="1" applyAlignment="1">
      <alignment vertical="center"/>
    </xf>
    <xf numFmtId="0" fontId="22" fillId="13" borderId="22" xfId="0" applyFont="1" applyFill="1" applyBorder="1" applyAlignment="1">
      <alignment vertical="center"/>
    </xf>
    <xf numFmtId="0" fontId="0" fillId="13" borderId="0" xfId="0" applyFont="1" applyFill="1" applyBorder="1">
      <alignment vertical="center"/>
    </xf>
    <xf numFmtId="0" fontId="0" fillId="13" borderId="22" xfId="0" applyFont="1" applyFill="1" applyBorder="1">
      <alignment vertical="center"/>
    </xf>
    <xf numFmtId="0" fontId="13" fillId="13" borderId="0" xfId="0" applyFont="1" applyFill="1" applyBorder="1" applyAlignment="1">
      <alignment vertical="center"/>
    </xf>
    <xf numFmtId="0" fontId="13" fillId="13" borderId="22" xfId="0" applyFont="1" applyFill="1" applyBorder="1" applyAlignment="1">
      <alignment vertical="center"/>
    </xf>
    <xf numFmtId="0" fontId="0" fillId="13" borderId="0" xfId="0" applyFont="1" applyFill="1">
      <alignment vertical="center"/>
    </xf>
    <xf numFmtId="0" fontId="0" fillId="13" borderId="24" xfId="0" applyFont="1" applyFill="1" applyBorder="1">
      <alignment vertical="center"/>
    </xf>
    <xf numFmtId="0" fontId="0" fillId="13" borderId="25" xfId="0" applyFont="1" applyFill="1" applyBorder="1">
      <alignment vertical="center"/>
    </xf>
    <xf numFmtId="0" fontId="1" fillId="0" borderId="26" xfId="0" applyFont="1" applyFill="1" applyBorder="1" applyAlignment="1">
      <alignment vertical="center" wrapText="1"/>
    </xf>
    <xf numFmtId="0" fontId="22" fillId="13" borderId="38" xfId="0" applyFont="1" applyFill="1" applyBorder="1" applyAlignment="1">
      <alignment vertical="center"/>
    </xf>
    <xf numFmtId="0" fontId="22" fillId="13" borderId="23" xfId="0" applyFont="1" applyFill="1" applyBorder="1" applyAlignment="1">
      <alignment vertical="center"/>
    </xf>
    <xf numFmtId="0" fontId="13" fillId="13" borderId="23" xfId="0" applyFont="1" applyFill="1" applyBorder="1" applyAlignment="1">
      <alignment vertical="center"/>
    </xf>
    <xf numFmtId="0" fontId="0" fillId="13" borderId="23" xfId="0" applyFont="1" applyFill="1" applyBorder="1">
      <alignment vertical="center"/>
    </xf>
    <xf numFmtId="0" fontId="0" fillId="13" borderId="26" xfId="0" applyFont="1" applyFill="1" applyBorder="1">
      <alignment vertical="center"/>
    </xf>
    <xf numFmtId="0" fontId="23" fillId="0" borderId="0" xfId="0" applyFont="1">
      <alignment vertical="center"/>
    </xf>
    <xf numFmtId="0" fontId="24" fillId="21" borderId="36" xfId="0" applyFont="1" applyFill="1" applyBorder="1" applyAlignment="1">
      <alignment horizontal="centerContinuous" vertical="center"/>
    </xf>
    <xf numFmtId="0" fontId="24" fillId="21" borderId="37" xfId="0" applyFont="1" applyFill="1" applyBorder="1" applyAlignment="1">
      <alignment horizontal="centerContinuous" vertical="center"/>
    </xf>
    <xf numFmtId="0" fontId="24" fillId="21" borderId="22" xfId="0" applyFont="1" applyFill="1" applyBorder="1" applyAlignment="1">
      <alignment horizontal="centerContinuous" vertical="center"/>
    </xf>
    <xf numFmtId="0" fontId="24" fillId="21" borderId="0" xfId="0" applyFont="1" applyFill="1" applyBorder="1" applyAlignment="1">
      <alignment horizontal="centerContinuous" vertical="center"/>
    </xf>
    <xf numFmtId="0" fontId="8" fillId="0" borderId="36" xfId="10" applyFont="1" applyFill="1" applyBorder="1" applyAlignment="1">
      <alignment horizontal="centerContinuous" vertical="center"/>
    </xf>
    <xf numFmtId="0" fontId="8" fillId="0" borderId="37" xfId="10" applyFont="1" applyFill="1" applyBorder="1" applyAlignment="1">
      <alignment horizontal="centerContinuous" vertical="center"/>
    </xf>
    <xf numFmtId="0" fontId="8" fillId="0" borderId="24" xfId="10" applyFont="1" applyFill="1" applyBorder="1" applyAlignment="1">
      <alignment horizontal="centerContinuous" vertical="center"/>
    </xf>
    <xf numFmtId="0" fontId="8" fillId="0" borderId="25" xfId="10" applyFont="1" applyFill="1" applyBorder="1" applyAlignment="1">
      <alignment horizontal="centerContinuous" vertical="center"/>
    </xf>
    <xf numFmtId="0" fontId="25" fillId="13" borderId="22" xfId="10" applyFont="1" applyFill="1" applyBorder="1" applyAlignment="1">
      <alignment horizontal="center" vertical="center"/>
    </xf>
    <xf numFmtId="0" fontId="26" fillId="13" borderId="0" xfId="10" applyFont="1" applyFill="1" applyBorder="1" applyAlignment="1">
      <alignment horizontal="center" vertical="center"/>
    </xf>
    <xf numFmtId="0" fontId="26" fillId="13" borderId="22" xfId="10" applyFont="1" applyFill="1" applyBorder="1" applyAlignment="1">
      <alignment horizontal="center" vertical="center"/>
    </xf>
    <xf numFmtId="0" fontId="13" fillId="13" borderId="36" xfId="0" applyFont="1" applyFill="1" applyBorder="1" applyAlignment="1">
      <alignment horizontal="left" vertical="center" wrapText="1"/>
    </xf>
    <xf numFmtId="0" fontId="13" fillId="13" borderId="37" xfId="0" applyFont="1" applyFill="1" applyBorder="1" applyAlignment="1">
      <alignment horizontal="left" vertical="center" wrapText="1"/>
    </xf>
    <xf numFmtId="0" fontId="13" fillId="13" borderId="22" xfId="0" applyFont="1" applyFill="1" applyBorder="1" applyAlignment="1">
      <alignment horizontal="left" vertical="center" wrapText="1"/>
    </xf>
    <xf numFmtId="0" fontId="13" fillId="13" borderId="0" xfId="0" applyFont="1" applyFill="1" applyAlignment="1">
      <alignment horizontal="left" vertical="center" wrapText="1"/>
    </xf>
    <xf numFmtId="0" fontId="13" fillId="13" borderId="24" xfId="0" applyFont="1" applyFill="1" applyBorder="1" applyAlignment="1">
      <alignment horizontal="left" vertical="center" wrapText="1"/>
    </xf>
    <xf numFmtId="0" fontId="13" fillId="13" borderId="25" xfId="0" applyFont="1" applyFill="1" applyBorder="1" applyAlignment="1">
      <alignment horizontal="left" vertical="center" wrapText="1"/>
    </xf>
    <xf numFmtId="0" fontId="0" fillId="13" borderId="36" xfId="0" applyFont="1" applyFill="1" applyBorder="1" applyAlignment="1">
      <alignment horizontal="left" vertical="center" wrapText="1"/>
    </xf>
    <xf numFmtId="0" fontId="0" fillId="13" borderId="37" xfId="0" applyFont="1" applyFill="1" applyBorder="1" applyAlignment="1">
      <alignment horizontal="left" vertical="center" wrapText="1"/>
    </xf>
    <xf numFmtId="0" fontId="0" fillId="13" borderId="22"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4" xfId="0" applyFont="1" applyFill="1" applyBorder="1" applyAlignment="1">
      <alignment horizontal="left" vertical="center" wrapText="1"/>
    </xf>
    <xf numFmtId="0" fontId="0" fillId="13" borderId="25" xfId="0" applyFont="1" applyFill="1" applyBorder="1" applyAlignment="1">
      <alignment horizontal="left" vertical="center" wrapText="1"/>
    </xf>
    <xf numFmtId="0" fontId="8" fillId="13" borderId="36" xfId="10" applyFont="1" applyFill="1" applyBorder="1" applyAlignment="1">
      <alignment horizontal="center" vertical="center" wrapText="1"/>
    </xf>
    <xf numFmtId="0" fontId="8" fillId="13" borderId="37" xfId="10" applyFont="1" applyFill="1" applyBorder="1" applyAlignment="1">
      <alignment horizontal="center" vertical="center" wrapText="1"/>
    </xf>
    <xf numFmtId="0" fontId="8" fillId="13" borderId="24" xfId="10" applyFont="1" applyFill="1" applyBorder="1" applyAlignment="1">
      <alignment horizontal="center" vertical="center" wrapText="1"/>
    </xf>
    <xf numFmtId="0" fontId="8" fillId="13" borderId="25" xfId="10" applyFont="1" applyFill="1" applyBorder="1" applyAlignment="1">
      <alignment horizontal="center" vertical="center" wrapText="1"/>
    </xf>
    <xf numFmtId="0" fontId="13" fillId="13" borderId="11"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41" xfId="0" applyFont="1" applyFill="1" applyBorder="1" applyAlignment="1">
      <alignment horizontal="left" vertical="center" wrapText="1"/>
    </xf>
    <xf numFmtId="0" fontId="13" fillId="13" borderId="42" xfId="0" applyFont="1" applyFill="1" applyBorder="1" applyAlignment="1">
      <alignment horizontal="left" vertical="center" wrapText="1"/>
    </xf>
    <xf numFmtId="0" fontId="13" fillId="13" borderId="16"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13" fillId="13" borderId="30" xfId="0" applyFont="1" applyFill="1" applyBorder="1" applyAlignment="1">
      <alignment horizontal="left" vertical="center" wrapText="1"/>
    </xf>
    <xf numFmtId="0" fontId="13" fillId="13" borderId="31" xfId="0" applyFont="1" applyFill="1" applyBorder="1" applyAlignment="1">
      <alignment horizontal="left" vertical="center" wrapText="1"/>
    </xf>
    <xf numFmtId="0" fontId="13" fillId="13" borderId="18" xfId="0" applyFont="1" applyFill="1" applyBorder="1" applyAlignment="1">
      <alignment horizontal="left" vertical="center" wrapText="1"/>
    </xf>
    <xf numFmtId="0" fontId="13" fillId="13" borderId="19" xfId="0" applyFont="1" applyFill="1" applyBorder="1" applyAlignment="1">
      <alignment horizontal="left" vertical="center" wrapText="1"/>
    </xf>
    <xf numFmtId="0" fontId="13" fillId="13" borderId="36"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3" fillId="13" borderId="25" xfId="0" applyFont="1" applyFill="1" applyBorder="1" applyAlignment="1">
      <alignment horizontal="center" vertical="center" wrapText="1"/>
    </xf>
    <xf numFmtId="0" fontId="27" fillId="13" borderId="36" xfId="10" applyFont="1" applyFill="1" applyBorder="1" applyAlignment="1">
      <alignment horizontal="center" vertical="center"/>
    </xf>
    <xf numFmtId="0" fontId="27" fillId="13" borderId="37" xfId="10" applyFont="1" applyFill="1" applyBorder="1" applyAlignment="1">
      <alignment horizontal="center" vertical="center"/>
    </xf>
    <xf numFmtId="0" fontId="27" fillId="13" borderId="24" xfId="10" applyFont="1" applyFill="1" applyBorder="1" applyAlignment="1">
      <alignment horizontal="center" vertical="center"/>
    </xf>
    <xf numFmtId="0" fontId="27" fillId="13" borderId="25" xfId="10" applyFont="1" applyFill="1" applyBorder="1" applyAlignment="1">
      <alignment horizontal="center" vertical="center"/>
    </xf>
    <xf numFmtId="0" fontId="27" fillId="0" borderId="36" xfId="10" applyFont="1" applyBorder="1" applyAlignment="1">
      <alignment horizontal="centerContinuous" vertical="center"/>
    </xf>
    <xf numFmtId="0" fontId="27" fillId="0" borderId="37" xfId="10" applyFont="1" applyBorder="1" applyAlignment="1">
      <alignment horizontal="centerContinuous" vertical="center"/>
    </xf>
    <xf numFmtId="0" fontId="27" fillId="0" borderId="24" xfId="10" applyFont="1" applyBorder="1" applyAlignment="1">
      <alignment horizontal="centerContinuous" vertical="center"/>
    </xf>
    <xf numFmtId="0" fontId="27" fillId="0" borderId="25" xfId="10" applyFont="1" applyBorder="1" applyAlignment="1">
      <alignment horizontal="centerContinuous" vertical="center"/>
    </xf>
    <xf numFmtId="0" fontId="8" fillId="0" borderId="36" xfId="10" applyFont="1" applyBorder="1" applyAlignment="1">
      <alignment horizontal="center" vertical="center" wrapText="1"/>
    </xf>
    <xf numFmtId="0" fontId="8" fillId="0" borderId="37"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8" fillId="0" borderId="25" xfId="10" applyFont="1" applyFill="1" applyBorder="1" applyAlignment="1">
      <alignment horizontal="center" vertical="center" wrapText="1"/>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right"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right" vertical="center"/>
    </xf>
    <xf numFmtId="0" fontId="0" fillId="0" borderId="29" xfId="0" applyBorder="1" applyAlignment="1">
      <alignment horizontal="center" vertical="center"/>
    </xf>
    <xf numFmtId="0" fontId="24" fillId="21" borderId="38" xfId="0" applyFont="1" applyFill="1" applyBorder="1" applyAlignment="1">
      <alignment horizontal="centerContinuous" vertical="center"/>
    </xf>
    <xf numFmtId="0" fontId="24" fillId="21" borderId="23" xfId="0" applyFont="1" applyFill="1" applyBorder="1" applyAlignment="1">
      <alignment horizontal="centerContinuous" vertical="center"/>
    </xf>
    <xf numFmtId="0" fontId="8" fillId="0" borderId="38" xfId="10" applyFont="1" applyFill="1" applyBorder="1" applyAlignment="1">
      <alignment horizontal="centerContinuous" vertical="center"/>
    </xf>
    <xf numFmtId="0" fontId="8" fillId="0" borderId="26" xfId="10" applyFont="1" applyFill="1" applyBorder="1" applyAlignment="1">
      <alignment horizontal="centerContinuous" vertical="center"/>
    </xf>
    <xf numFmtId="0" fontId="26" fillId="13" borderId="23" xfId="10" applyFont="1" applyFill="1" applyBorder="1" applyAlignment="1">
      <alignment horizontal="center" vertical="center"/>
    </xf>
    <xf numFmtId="0" fontId="13" fillId="13" borderId="38" xfId="0" applyFont="1" applyFill="1" applyBorder="1" applyAlignment="1">
      <alignment horizontal="left" vertical="center" wrapText="1"/>
    </xf>
    <xf numFmtId="0" fontId="13" fillId="13" borderId="23" xfId="0" applyFont="1" applyFill="1" applyBorder="1" applyAlignment="1">
      <alignment horizontal="left" vertical="center" wrapText="1"/>
    </xf>
    <xf numFmtId="0" fontId="13" fillId="13" borderId="26"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23"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8" fillId="13" borderId="38" xfId="10" applyFont="1" applyFill="1" applyBorder="1" applyAlignment="1">
      <alignment horizontal="center" vertical="center" wrapText="1"/>
    </xf>
    <xf numFmtId="0" fontId="8" fillId="13" borderId="26" xfId="10" applyFont="1" applyFill="1" applyBorder="1" applyAlignment="1">
      <alignment horizontal="center" vertical="center" wrapText="1"/>
    </xf>
    <xf numFmtId="0" fontId="13" fillId="13" borderId="13" xfId="0" applyFont="1" applyFill="1" applyBorder="1" applyAlignment="1">
      <alignment horizontal="left" vertical="center" wrapText="1"/>
    </xf>
    <xf numFmtId="0" fontId="13" fillId="13" borderId="45" xfId="0" applyFont="1" applyFill="1" applyBorder="1" applyAlignment="1">
      <alignment horizontal="left" vertical="center" wrapText="1"/>
    </xf>
    <xf numFmtId="0" fontId="13" fillId="13" borderId="17" xfId="0" applyFont="1" applyFill="1" applyBorder="1" applyAlignment="1">
      <alignment horizontal="left" vertical="center" wrapText="1"/>
    </xf>
    <xf numFmtId="0" fontId="13" fillId="13" borderId="44" xfId="0" applyFont="1" applyFill="1" applyBorder="1" applyAlignment="1">
      <alignment horizontal="left" vertical="center" wrapText="1"/>
    </xf>
    <xf numFmtId="0" fontId="13" fillId="13" borderId="20" xfId="0" applyFont="1" applyFill="1" applyBorder="1" applyAlignment="1">
      <alignment horizontal="left" vertical="center" wrapText="1"/>
    </xf>
    <xf numFmtId="0" fontId="13" fillId="13" borderId="38"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27" fillId="13" borderId="38" xfId="10" applyFont="1" applyFill="1" applyBorder="1" applyAlignment="1">
      <alignment horizontal="center" vertical="center"/>
    </xf>
    <xf numFmtId="0" fontId="27" fillId="13" borderId="26" xfId="10" applyFont="1" applyFill="1" applyBorder="1" applyAlignment="1">
      <alignment horizontal="center" vertical="center"/>
    </xf>
    <xf numFmtId="0" fontId="27" fillId="0" borderId="38" xfId="10" applyFont="1" applyBorder="1" applyAlignment="1">
      <alignment horizontal="centerContinuous" vertical="center"/>
    </xf>
    <xf numFmtId="0" fontId="27" fillId="0" borderId="26" xfId="10" applyFont="1" applyBorder="1" applyAlignment="1">
      <alignment horizontal="centerContinuous" vertical="center"/>
    </xf>
    <xf numFmtId="0" fontId="8" fillId="0" borderId="3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0" fillId="0" borderId="66" xfId="0" applyBorder="1" applyAlignment="1">
      <alignment horizontal="center" vertical="center"/>
    </xf>
    <xf numFmtId="0" fontId="0" fillId="0" borderId="17" xfId="0" applyBorder="1">
      <alignment vertical="center"/>
    </xf>
    <xf numFmtId="0" fontId="0" fillId="0" borderId="17" xfId="0" applyBorder="1" applyAlignment="1">
      <alignment horizontal="right" vertical="center"/>
    </xf>
    <xf numFmtId="0" fontId="0" fillId="0" borderId="20" xfId="0" applyBorder="1">
      <alignment vertical="center"/>
    </xf>
    <xf numFmtId="0" fontId="0" fillId="13"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1"/>
        <i val="0"/>
        <color rgb="FFFF0000"/>
      </font>
    </dxf>
    <dxf>
      <font>
        <b val="1"/>
        <i val="0"/>
        <color rgb="FFFF0000"/>
      </font>
      <fill>
        <patternFill patternType="solid">
          <bgColor rgb="FFFFFF00"/>
        </patternFill>
      </fill>
    </dxf>
    <dxf>
      <fill>
        <patternFill patternType="solid">
          <bgColor theme="0" tint="-0.15"/>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白天模拟!$B$52:$B$57</c:f>
              <c:numCache>
                <c:formatCode>General</c:formatCode>
                <c:ptCount val="6"/>
                <c:pt idx="0">
                  <c:v>0.0940988527336553</c:v>
                </c:pt>
                <c:pt idx="1">
                  <c:v>8.39990112825772</c:v>
                </c:pt>
                <c:pt idx="2">
                  <c:v>2.53527924580045</c:v>
                </c:pt>
                <c:pt idx="3">
                  <c:v>2.39725822811419</c:v>
                </c:pt>
                <c:pt idx="4">
                  <c:v>6.36217671983833</c:v>
                </c:pt>
                <c:pt idx="5">
                  <c:v>1.62273857292961</c:v>
                </c:pt>
              </c:numCache>
            </c:numRef>
          </c:val>
        </c:ser>
        <c:dLbls>
          <c:showLegendKey val="0"/>
          <c:showVal val="0"/>
          <c:showCatName val="0"/>
          <c:showSerName val="0"/>
          <c:showPercent val="0"/>
          <c:showBubbleSize val="0"/>
        </c:dLbls>
      </c:pie3DChart>
      <c:spPr>
        <a:noFill/>
        <a:ln>
          <a:noFill/>
        </a:ln>
        <a:effectLst/>
      </c:spPr>
    </c:plotArea>
    <c:legend>
      <c:legendPos val="b"/>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solidFill>
                <a:schemeClr val="accent5"/>
              </a:soli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白天模拟!$C$52:$C$57</c:f>
              <c:numCache>
                <c:formatCode>General</c:formatCode>
                <c:ptCount val="6"/>
                <c:pt idx="0">
                  <c:v>0.324626613260186</c:v>
                </c:pt>
                <c:pt idx="1">
                  <c:v>0</c:v>
                </c:pt>
                <c:pt idx="2">
                  <c:v>0.400166007395684</c:v>
                </c:pt>
                <c:pt idx="3">
                  <c:v>0.26806344384228</c:v>
                </c:pt>
                <c:pt idx="4">
                  <c:v>0</c:v>
                </c:pt>
                <c:pt idx="5">
                  <c:v>0</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4"/>
        <c:delete val="1"/>
      </c:legendEntry>
      <c:legendEntry>
        <c:idx val="5"/>
        <c:delete val="1"/>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白天模拟!$D$52:$D$57</c:f>
              <c:numCache>
                <c:formatCode>General</c:formatCode>
                <c:ptCount val="6"/>
                <c:pt idx="0">
                  <c:v>0</c:v>
                </c:pt>
                <c:pt idx="1">
                  <c:v>0.600134303129299</c:v>
                </c:pt>
                <c:pt idx="2">
                  <c:v>0.0416000663650306</c:v>
                </c:pt>
                <c:pt idx="3">
                  <c:v>0.0373317196831481</c:v>
                </c:pt>
                <c:pt idx="4">
                  <c:v>0.219598211050321</c:v>
                </c:pt>
                <c:pt idx="5">
                  <c:v>0.0283014283680389</c:v>
                </c:pt>
              </c:numCache>
            </c:numRef>
          </c:val>
        </c:ser>
        <c:dLbls>
          <c:showLegendKey val="0"/>
          <c:showVal val="0"/>
          <c:showCatName val="0"/>
          <c:showSerName val="0"/>
          <c:showPercent val="0"/>
          <c:showBubbleSize val="0"/>
        </c:dLbls>
      </c:pie3DChart>
      <c:spPr>
        <a:noFill/>
        <a:ln>
          <a:noFill/>
        </a:ln>
        <a:effectLst/>
      </c:spPr>
    </c:plotArea>
    <c:legend>
      <c:legendPos val="b"/>
      <c:legendEntry>
        <c:idx val="0"/>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白天模拟!$E$52:$E$57</c:f>
              <c:numCache>
                <c:formatCode>General</c:formatCode>
                <c:ptCount val="6"/>
                <c:pt idx="0">
                  <c:v>0.00799404398330968</c:v>
                </c:pt>
                <c:pt idx="1">
                  <c:v>0</c:v>
                </c:pt>
                <c:pt idx="2">
                  <c:v>0</c:v>
                </c:pt>
                <c:pt idx="3">
                  <c:v>0.13582010348735</c:v>
                </c:pt>
                <c:pt idx="4">
                  <c:v>0.089897641590936</c:v>
                </c:pt>
                <c:pt idx="5">
                  <c:v>0.000419579372046522</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-516181</c:v>
                </c:pt>
                <c:pt idx="1">
                  <c:v>-1143754</c:v>
                </c:pt>
                <c:pt idx="2">
                  <c:v>-2163088</c:v>
                </c:pt>
                <c:pt idx="3">
                  <c:v>-272345.5</c:v>
                </c:pt>
                <c:pt idx="4">
                  <c:v>56073</c:v>
                </c:pt>
                <c:pt idx="5">
                  <c:v>55505.9999999999</c:v>
                </c:pt>
                <c:pt idx="6">
                  <c:v>201636</c:v>
                </c:pt>
                <c:pt idx="7">
                  <c:v>2191684.5</c:v>
                </c:pt>
                <c:pt idx="8">
                  <c:v>-289337.5</c:v>
                </c:pt>
                <c:pt idx="9">
                  <c:v>-732075</c:v>
                </c:pt>
                <c:pt idx="10">
                  <c:v>-1126008</c:v>
                </c:pt>
                <c:pt idx="11">
                  <c:v>209518.5</c:v>
                </c:pt>
                <c:pt idx="12">
                  <c:v>-253937.5</c:v>
                </c:pt>
                <c:pt idx="13">
                  <c:v>-668355</c:v>
                </c:pt>
                <c:pt idx="14">
                  <c:v>-1024056</c:v>
                </c:pt>
                <c:pt idx="15">
                  <c:v>349466.5</c:v>
                </c:pt>
                <c:pt idx="16">
                  <c:v>-159442.5</c:v>
                </c:pt>
                <c:pt idx="17">
                  <c:v>-321197.5</c:v>
                </c:pt>
                <c:pt idx="18">
                  <c:v>-213724</c:v>
                </c:pt>
                <c:pt idx="19">
                  <c:v>-273006</c:v>
                </c:pt>
                <c:pt idx="20">
                  <c:v>-239022</c:v>
                </c:pt>
                <c:pt idx="21">
                  <c:v>-336444</c:v>
                </c:pt>
                <c:pt idx="22">
                  <c:v>-1022922</c:v>
                </c:pt>
                <c:pt idx="23">
                  <c:v>-1375224</c:v>
                </c:pt>
                <c:pt idx="24">
                  <c:v>-2187444</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30480</xdr:colOff>
      <xdr:row>1</xdr:row>
      <xdr:rowOff>5715</xdr:rowOff>
    </xdr:from>
    <xdr:to>
      <xdr:col>38</xdr:col>
      <xdr:colOff>266700</xdr:colOff>
      <xdr:row>31</xdr:row>
      <xdr:rowOff>44450</xdr:rowOff>
    </xdr:to>
    <xdr:pic>
      <xdr:nvPicPr>
        <xdr:cNvPr id="2" name="图片 1"/>
        <xdr:cNvPicPr>
          <a:picLocks noChangeAspect="1"/>
        </xdr:cNvPicPr>
      </xdr:nvPicPr>
      <xdr:blipFill>
        <a:blip r:embed="rId1"/>
        <a:stretch>
          <a:fillRect/>
        </a:stretch>
      </xdr:blipFill>
      <xdr:spPr>
        <a:xfrm>
          <a:off x="12352020" y="228600"/>
          <a:ext cx="11209020" cy="5621655"/>
        </a:xfrm>
        <a:prstGeom prst="rect">
          <a:avLst/>
        </a:prstGeom>
        <a:noFill/>
        <a:ln w="9525">
          <a:noFill/>
        </a:ln>
      </xdr:spPr>
    </xdr:pic>
    <xdr:clientData/>
  </xdr:twoCellAnchor>
  <xdr:twoCellAnchor>
    <xdr:from>
      <xdr:col>18</xdr:col>
      <xdr:colOff>533400</xdr:colOff>
      <xdr:row>10</xdr:row>
      <xdr:rowOff>68580</xdr:rowOff>
    </xdr:from>
    <xdr:to>
      <xdr:col>20</xdr:col>
      <xdr:colOff>236220</xdr:colOff>
      <xdr:row>12</xdr:row>
      <xdr:rowOff>76200</xdr:rowOff>
    </xdr:to>
    <xdr:cxnSp>
      <xdr:nvCxnSpPr>
        <xdr:cNvPr id="4" name="直接箭头连接符 3"/>
        <xdr:cNvCxnSpPr/>
      </xdr:nvCxnSpPr>
      <xdr:spPr>
        <a:xfrm>
          <a:off x="11635740" y="1965960"/>
          <a:ext cx="922020" cy="382905"/>
        </a:xfrm>
        <a:prstGeom prst="straightConnector1">
          <a:avLst/>
        </a:prstGeom>
        <a:ln>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243840</xdr:colOff>
      <xdr:row>16</xdr:row>
      <xdr:rowOff>182880</xdr:rowOff>
    </xdr:from>
    <xdr:to>
      <xdr:col>20</xdr:col>
      <xdr:colOff>144780</xdr:colOff>
      <xdr:row>18</xdr:row>
      <xdr:rowOff>104775</xdr:rowOff>
    </xdr:to>
    <xdr:cxnSp>
      <xdr:nvCxnSpPr>
        <xdr:cNvPr id="6" name="直接箭头连接符 5"/>
        <xdr:cNvCxnSpPr/>
      </xdr:nvCxnSpPr>
      <xdr:spPr>
        <a:xfrm flipV="1">
          <a:off x="11955780" y="3196590"/>
          <a:ext cx="510540" cy="297180"/>
        </a:xfrm>
        <a:prstGeom prst="straightConnector1">
          <a:avLst/>
        </a:prstGeom>
        <a:ln>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495300</xdr:colOff>
      <xdr:row>27</xdr:row>
      <xdr:rowOff>38100</xdr:rowOff>
    </xdr:from>
    <xdr:to>
      <xdr:col>20</xdr:col>
      <xdr:colOff>205740</xdr:colOff>
      <xdr:row>28</xdr:row>
      <xdr:rowOff>7620</xdr:rowOff>
    </xdr:to>
    <xdr:cxnSp>
      <xdr:nvCxnSpPr>
        <xdr:cNvPr id="7" name="直接箭头连接符 6"/>
        <xdr:cNvCxnSpPr/>
      </xdr:nvCxnSpPr>
      <xdr:spPr>
        <a:xfrm flipV="1">
          <a:off x="12207240" y="5102860"/>
          <a:ext cx="320040" cy="152400"/>
        </a:xfrm>
        <a:prstGeom prst="straightConnector1">
          <a:avLst/>
        </a:prstGeom>
        <a:ln>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274320</xdr:colOff>
      <xdr:row>6</xdr:row>
      <xdr:rowOff>121920</xdr:rowOff>
    </xdr:from>
    <xdr:to>
      <xdr:col>28</xdr:col>
      <xdr:colOff>83820</xdr:colOff>
      <xdr:row>7</xdr:row>
      <xdr:rowOff>68580</xdr:rowOff>
    </xdr:to>
    <xdr:cxnSp>
      <xdr:nvCxnSpPr>
        <xdr:cNvPr id="8" name="直接箭头连接符 7"/>
        <xdr:cNvCxnSpPr/>
      </xdr:nvCxnSpPr>
      <xdr:spPr>
        <a:xfrm flipH="1">
          <a:off x="16863060" y="1278255"/>
          <a:ext cx="419100" cy="13906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144780</xdr:colOff>
      <xdr:row>5</xdr:row>
      <xdr:rowOff>173355</xdr:rowOff>
    </xdr:from>
    <xdr:to>
      <xdr:col>27</xdr:col>
      <xdr:colOff>396240</xdr:colOff>
      <xdr:row>7</xdr:row>
      <xdr:rowOff>112395</xdr:rowOff>
    </xdr:to>
    <xdr:cxnSp>
      <xdr:nvCxnSpPr>
        <xdr:cNvPr id="9" name="直接箭头连接符 8"/>
        <xdr:cNvCxnSpPr>
          <a:stCxn id="10" idx="1"/>
        </xdr:cNvCxnSpPr>
      </xdr:nvCxnSpPr>
      <xdr:spPr>
        <a:xfrm flipH="1">
          <a:off x="14904720" y="1146810"/>
          <a:ext cx="2080260" cy="31432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396240</xdr:colOff>
      <xdr:row>5</xdr:row>
      <xdr:rowOff>68580</xdr:rowOff>
    </xdr:from>
    <xdr:to>
      <xdr:col>33</xdr:col>
      <xdr:colOff>15240</xdr:colOff>
      <xdr:row>6</xdr:row>
      <xdr:rowOff>95250</xdr:rowOff>
    </xdr:to>
    <xdr:sp>
      <xdr:nvSpPr>
        <xdr:cNvPr id="10" name="文本框 9"/>
        <xdr:cNvSpPr txBox="1"/>
      </xdr:nvSpPr>
      <xdr:spPr>
        <a:xfrm>
          <a:off x="16984980" y="1042035"/>
          <a:ext cx="32766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100"/>
            <a:t>需要手动把性价比参考值抄写到性价比期望的位置</a:t>
          </a:r>
          <a:endParaRPr lang="zh-CN" altLang="en-US" sz="1100"/>
        </a:p>
      </xdr:txBody>
    </xdr:sp>
    <xdr:clientData/>
  </xdr:twoCellAnchor>
  <xdr:twoCellAnchor>
    <xdr:from>
      <xdr:col>37</xdr:col>
      <xdr:colOff>99060</xdr:colOff>
      <xdr:row>16</xdr:row>
      <xdr:rowOff>22860</xdr:rowOff>
    </xdr:from>
    <xdr:to>
      <xdr:col>38</xdr:col>
      <xdr:colOff>91440</xdr:colOff>
      <xdr:row>17</xdr:row>
      <xdr:rowOff>28575</xdr:rowOff>
    </xdr:to>
    <xdr:cxnSp>
      <xdr:nvCxnSpPr>
        <xdr:cNvPr id="11" name="直接箭头连接符 10"/>
        <xdr:cNvCxnSpPr/>
      </xdr:nvCxnSpPr>
      <xdr:spPr>
        <a:xfrm flipH="1" flipV="1">
          <a:off x="22783800" y="3036570"/>
          <a:ext cx="601980" cy="19812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xdr:colOff>
      <xdr:row>15</xdr:row>
      <xdr:rowOff>129540</xdr:rowOff>
    </xdr:from>
    <xdr:to>
      <xdr:col>39</xdr:col>
      <xdr:colOff>365760</xdr:colOff>
      <xdr:row>21</xdr:row>
      <xdr:rowOff>120015</xdr:rowOff>
    </xdr:to>
    <xdr:sp>
      <xdr:nvSpPr>
        <xdr:cNvPr id="12" name="文本框 11"/>
        <xdr:cNvSpPr txBox="1"/>
      </xdr:nvSpPr>
      <xdr:spPr>
        <a:xfrm>
          <a:off x="23340060" y="2960370"/>
          <a:ext cx="929640" cy="111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l"/>
          <a:r>
            <a:rPr lang="zh-CN" altLang="en-US" sz="1100"/>
            <a:t>只要没有提示过于激进或者过于保守，都是合理的策略</a:t>
          </a:r>
          <a:endParaRPr lang="zh-CN" altLang="en-US" sz="1100"/>
        </a:p>
      </xdr:txBody>
    </xdr:sp>
    <xdr:clientData/>
  </xdr:twoCellAnchor>
  <xdr:twoCellAnchor>
    <xdr:from>
      <xdr:col>35</xdr:col>
      <xdr:colOff>510540</xdr:colOff>
      <xdr:row>17</xdr:row>
      <xdr:rowOff>38100</xdr:rowOff>
    </xdr:from>
    <xdr:to>
      <xdr:col>38</xdr:col>
      <xdr:colOff>68580</xdr:colOff>
      <xdr:row>22</xdr:row>
      <xdr:rowOff>137160</xdr:rowOff>
    </xdr:to>
    <xdr:cxnSp>
      <xdr:nvCxnSpPr>
        <xdr:cNvPr id="13" name="直接箭头连接符 12"/>
        <xdr:cNvCxnSpPr/>
      </xdr:nvCxnSpPr>
      <xdr:spPr>
        <a:xfrm flipH="1" flipV="1">
          <a:off x="21976080" y="3244215"/>
          <a:ext cx="1386840" cy="103378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259080</xdr:colOff>
      <xdr:row>16</xdr:row>
      <xdr:rowOff>53340</xdr:rowOff>
    </xdr:from>
    <xdr:to>
      <xdr:col>38</xdr:col>
      <xdr:colOff>53340</xdr:colOff>
      <xdr:row>23</xdr:row>
      <xdr:rowOff>66675</xdr:rowOff>
    </xdr:to>
    <xdr:cxnSp>
      <xdr:nvCxnSpPr>
        <xdr:cNvPr id="14" name="直接箭头连接符 13"/>
        <xdr:cNvCxnSpPr/>
      </xdr:nvCxnSpPr>
      <xdr:spPr>
        <a:xfrm flipH="1" flipV="1">
          <a:off x="21115020" y="3067050"/>
          <a:ext cx="2232660" cy="132334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281940</xdr:colOff>
      <xdr:row>23</xdr:row>
      <xdr:rowOff>121920</xdr:rowOff>
    </xdr:from>
    <xdr:to>
      <xdr:col>39</xdr:col>
      <xdr:colOff>426720</xdr:colOff>
      <xdr:row>31</xdr:row>
      <xdr:rowOff>55880</xdr:rowOff>
    </xdr:to>
    <xdr:sp>
      <xdr:nvSpPr>
        <xdr:cNvPr id="15" name="文本框 14"/>
        <xdr:cNvSpPr txBox="1"/>
      </xdr:nvSpPr>
      <xdr:spPr>
        <a:xfrm>
          <a:off x="22966680" y="4445635"/>
          <a:ext cx="1363980"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l"/>
          <a:r>
            <a:rPr lang="zh-CN" altLang="en-US" sz="1100"/>
            <a:t>如果提示过于激进、保守，根据白天和每日的过滤失败概率来判断到底是白天过滤名词不合理还是夜晚过滤名次不合理</a:t>
          </a:r>
          <a:endParaRPr lang="zh-CN" altLang="en-US" sz="1100"/>
        </a:p>
      </xdr:txBody>
    </xdr:sp>
    <xdr:clientData/>
  </xdr:twoCellAnchor>
  <xdr:twoCellAnchor>
    <xdr:from>
      <xdr:col>32</xdr:col>
      <xdr:colOff>45720</xdr:colOff>
      <xdr:row>6</xdr:row>
      <xdr:rowOff>45720</xdr:rowOff>
    </xdr:from>
    <xdr:to>
      <xdr:col>35</xdr:col>
      <xdr:colOff>266700</xdr:colOff>
      <xdr:row>15</xdr:row>
      <xdr:rowOff>78105</xdr:rowOff>
    </xdr:to>
    <xdr:cxnSp>
      <xdr:nvCxnSpPr>
        <xdr:cNvPr id="16" name="直接箭头连接符 15"/>
        <xdr:cNvCxnSpPr/>
      </xdr:nvCxnSpPr>
      <xdr:spPr>
        <a:xfrm flipH="1">
          <a:off x="19682460" y="1202055"/>
          <a:ext cx="2049780" cy="170688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228600</xdr:colOff>
      <xdr:row>4</xdr:row>
      <xdr:rowOff>68580</xdr:rowOff>
    </xdr:from>
    <xdr:to>
      <xdr:col>39</xdr:col>
      <xdr:colOff>121285</xdr:colOff>
      <xdr:row>9</xdr:row>
      <xdr:rowOff>15240</xdr:rowOff>
    </xdr:to>
    <xdr:sp>
      <xdr:nvSpPr>
        <xdr:cNvPr id="17" name="文本框 16"/>
        <xdr:cNvSpPr txBox="1"/>
      </xdr:nvSpPr>
      <xdr:spPr>
        <a:xfrm>
          <a:off x="21694140" y="849630"/>
          <a:ext cx="2331085" cy="88011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100"/>
            <a:t>此处可以选择查看全年期望还是直到</a:t>
          </a:r>
          <a:r>
            <a:rPr lang="en-US" altLang="zh-CN" sz="1100"/>
            <a:t>4</a:t>
          </a:r>
          <a:r>
            <a:rPr lang="zh-CN" altLang="en-US" sz="1100"/>
            <a:t>期科研结束的期望</a:t>
          </a:r>
          <a:endParaRPr lang="en-US" altLang="zh-CN"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19685</xdr:colOff>
      <xdr:row>32</xdr:row>
      <xdr:rowOff>286385</xdr:rowOff>
    </xdr:from>
    <xdr:to>
      <xdr:col>8</xdr:col>
      <xdr:colOff>480060</xdr:colOff>
      <xdr:row>47</xdr:row>
      <xdr:rowOff>144145</xdr:rowOff>
    </xdr:to>
    <xdr:graphicFrame>
      <xdr:nvGraphicFramePr>
        <xdr:cNvPr id="3" name="图表 2"/>
        <xdr:cNvGraphicFramePr/>
      </xdr:nvGraphicFramePr>
      <xdr:xfrm>
        <a:off x="1105535" y="7171690"/>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33</xdr:row>
      <xdr:rowOff>86995</xdr:rowOff>
    </xdr:from>
    <xdr:to>
      <xdr:col>16</xdr:col>
      <xdr:colOff>683895</xdr:colOff>
      <xdr:row>47</xdr:row>
      <xdr:rowOff>149860</xdr:rowOff>
    </xdr:to>
    <xdr:graphicFrame>
      <xdr:nvGraphicFramePr>
        <xdr:cNvPr id="4" name="图表 3"/>
        <xdr:cNvGraphicFramePr/>
      </xdr:nvGraphicFramePr>
      <xdr:xfrm>
        <a:off x="6163310" y="7264400"/>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7620</xdr:colOff>
      <xdr:row>165</xdr:row>
      <xdr:rowOff>8890</xdr:rowOff>
    </xdr:from>
    <xdr:to>
      <xdr:col>16</xdr:col>
      <xdr:colOff>469900</xdr:colOff>
      <xdr:row>195</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1093470" y="33355280"/>
          <a:ext cx="10058400" cy="5530215"/>
        </a:xfrm>
        <a:prstGeom prst="rect">
          <a:avLst/>
        </a:prstGeom>
      </xdr:spPr>
    </xdr:pic>
    <xdr:clientData/>
  </xdr:twoCellAnchor>
  <xdr:twoCellAnchor>
    <xdr:from>
      <xdr:col>2</xdr:col>
      <xdr:colOff>51435</xdr:colOff>
      <xdr:row>50</xdr:row>
      <xdr:rowOff>0</xdr:rowOff>
    </xdr:from>
    <xdr:to>
      <xdr:col>8</xdr:col>
      <xdr:colOff>511810</xdr:colOff>
      <xdr:row>64</xdr:row>
      <xdr:rowOff>111760</xdr:rowOff>
    </xdr:to>
    <xdr:graphicFrame>
      <xdr:nvGraphicFramePr>
        <xdr:cNvPr id="18" name="图表 17"/>
        <xdr:cNvGraphicFramePr/>
      </xdr:nvGraphicFramePr>
      <xdr:xfrm>
        <a:off x="1137285" y="10646410"/>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69215</xdr:colOff>
      <xdr:row>49</xdr:row>
      <xdr:rowOff>163830</xdr:rowOff>
    </xdr:from>
    <xdr:to>
      <xdr:col>16</xdr:col>
      <xdr:colOff>394335</xdr:colOff>
      <xdr:row>64</xdr:row>
      <xdr:rowOff>184150</xdr:rowOff>
    </xdr:to>
    <xdr:graphicFrame>
      <xdr:nvGraphicFramePr>
        <xdr:cNvPr id="2" name="图表 1"/>
        <xdr:cNvGraphicFramePr/>
      </xdr:nvGraphicFramePr>
      <xdr:xfrm>
        <a:off x="6203950" y="10612120"/>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28575</xdr:colOff>
      <xdr:row>65</xdr:row>
      <xdr:rowOff>18415</xdr:rowOff>
    </xdr:from>
    <xdr:to>
      <xdr:col>19</xdr:col>
      <xdr:colOff>773430</xdr:colOff>
      <xdr:row>97</xdr:row>
      <xdr:rowOff>10795</xdr:rowOff>
    </xdr:to>
    <xdr:graphicFrame>
      <xdr:nvGraphicFramePr>
        <xdr:cNvPr id="6" name="图表 5"/>
        <xdr:cNvGraphicFramePr/>
      </xdr:nvGraphicFramePr>
      <xdr:xfrm>
        <a:off x="1114425" y="13646150"/>
        <a:ext cx="12809855" cy="63322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4</xdr:row>
      <xdr:rowOff>52070</xdr:rowOff>
    </xdr:to>
    <xdr:pic>
      <xdr:nvPicPr>
        <xdr:cNvPr id="2" name="图片 1" descr="m42kynl8f6biaivedwo3np4sxzrtee9"/>
        <xdr:cNvPicPr>
          <a:picLocks noChangeAspect="1"/>
        </xdr:cNvPicPr>
      </xdr:nvPicPr>
      <xdr:blipFill>
        <a:blip r:embed="rId1"/>
        <a:stretch>
          <a:fillRect/>
        </a:stretch>
      </xdr:blipFill>
      <xdr:spPr>
        <a:xfrm>
          <a:off x="299720" y="582930"/>
          <a:ext cx="179705" cy="238760"/>
        </a:xfrm>
        <a:prstGeom prst="rect">
          <a:avLst/>
        </a:prstGeom>
      </xdr:spPr>
    </xdr:pic>
    <xdr:clientData/>
  </xdr:twoCellAnchor>
  <xdr:twoCellAnchor editAs="oneCell">
    <xdr:from>
      <xdr:col>1</xdr:col>
      <xdr:colOff>10160</xdr:colOff>
      <xdr:row>2</xdr:row>
      <xdr:rowOff>5715</xdr:rowOff>
    </xdr:from>
    <xdr:to>
      <xdr:col>1</xdr:col>
      <xdr:colOff>189230</xdr:colOff>
      <xdr:row>3</xdr:row>
      <xdr:rowOff>52070</xdr:rowOff>
    </xdr:to>
    <xdr:pic>
      <xdr:nvPicPr>
        <xdr:cNvPr id="3" name="图片 2" descr="45px-试作舰载型BF-109GT0"/>
        <xdr:cNvPicPr>
          <a:picLocks noChangeAspect="1"/>
        </xdr:cNvPicPr>
      </xdr:nvPicPr>
      <xdr:blipFill>
        <a:blip r:embed="rId2"/>
        <a:stretch>
          <a:fillRect/>
        </a:stretch>
      </xdr:blipFill>
      <xdr:spPr>
        <a:xfrm>
          <a:off x="299720" y="390525"/>
          <a:ext cx="179070" cy="238760"/>
        </a:xfrm>
        <a:prstGeom prst="rect">
          <a:avLst/>
        </a:prstGeom>
      </xdr:spPr>
    </xdr:pic>
    <xdr:clientData/>
  </xdr:twoCellAnchor>
  <xdr:twoCellAnchor editAs="oneCell">
    <xdr:from>
      <xdr:col>1</xdr:col>
      <xdr:colOff>10160</xdr:colOff>
      <xdr:row>4</xdr:row>
      <xdr:rowOff>5715</xdr:rowOff>
    </xdr:from>
    <xdr:to>
      <xdr:col>1</xdr:col>
      <xdr:colOff>189230</xdr:colOff>
      <xdr:row>5</xdr:row>
      <xdr:rowOff>61595</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248285"/>
        </a:xfrm>
        <a:prstGeom prst="rect">
          <a:avLst/>
        </a:prstGeom>
      </xdr:spPr>
    </xdr:pic>
    <xdr:clientData/>
  </xdr:twoCellAnchor>
  <xdr:twoCellAnchor editAs="oneCell">
    <xdr:from>
      <xdr:col>1</xdr:col>
      <xdr:colOff>10160</xdr:colOff>
      <xdr:row>5</xdr:row>
      <xdr:rowOff>5715</xdr:rowOff>
    </xdr:from>
    <xdr:to>
      <xdr:col>1</xdr:col>
      <xdr:colOff>189230</xdr:colOff>
      <xdr:row>6</xdr:row>
      <xdr:rowOff>61595</xdr:rowOff>
    </xdr:to>
    <xdr:pic>
      <xdr:nvPicPr>
        <xdr:cNvPr id="5" name="图片 4" descr="45px-试作型彩云(舰攻型)T0"/>
        <xdr:cNvPicPr>
          <a:picLocks noChangeAspect="1"/>
        </xdr:cNvPicPr>
      </xdr:nvPicPr>
      <xdr:blipFill>
        <a:blip r:embed="rId4"/>
        <a:stretch>
          <a:fillRect/>
        </a:stretch>
      </xdr:blipFill>
      <xdr:spPr>
        <a:xfrm>
          <a:off x="299720" y="967740"/>
          <a:ext cx="179070" cy="248285"/>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180340</xdr:colOff>
      <xdr:row>8</xdr:row>
      <xdr:rowOff>32385</xdr:rowOff>
    </xdr:to>
    <xdr:pic>
      <xdr:nvPicPr>
        <xdr:cNvPr id="7" name="图片 6" descr="45px-试作舰载型天雷T0"/>
        <xdr:cNvPicPr>
          <a:picLocks noChangeAspect="1"/>
        </xdr:cNvPicPr>
      </xdr:nvPicPr>
      <xdr:blipFill>
        <a:blip r:embed="rId6"/>
        <a:stretch>
          <a:fillRect/>
        </a:stretch>
      </xdr:blipFill>
      <xdr:spPr>
        <a:xfrm>
          <a:off x="299720" y="1346200"/>
          <a:ext cx="170180" cy="2159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bilibili.com/video/bv1G3411P7hP" TargetMode="External"/><Relationship Id="rId4" Type="http://schemas.openxmlformats.org/officeDocument/2006/relationships/hyperlink" Target="https://space.bilibili.com/13704065" TargetMode="External"/><Relationship Id="rId3" Type="http://schemas.openxmlformats.org/officeDocument/2006/relationships/hyperlink" Target="https://wiki.biligame.com/blhx/%E9%A6%96%E9%A1%B5" TargetMode="External"/><Relationship Id="rId2" Type="http://schemas.openxmlformats.org/officeDocument/2006/relationships/hyperlink" Target="https://space.bilibili.com/337285187"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62"/>
  <sheetViews>
    <sheetView workbookViewId="0">
      <selection activeCell="Z36" sqref="Z36"/>
    </sheetView>
  </sheetViews>
  <sheetFormatPr defaultColWidth="8.88888888888889" defaultRowHeight="14.4"/>
  <cols>
    <col min="4" max="4" width="10.2222222222222" customWidth="1"/>
    <col min="13" max="13" width="9.44444444444444" customWidth="1"/>
  </cols>
  <sheetData>
    <row r="1" ht="17.55" spans="1:39">
      <c r="A1" s="622"/>
      <c r="Q1" s="257"/>
      <c r="R1" s="257"/>
      <c r="S1" s="257"/>
      <c r="T1" s="257"/>
      <c r="U1" s="257"/>
      <c r="V1" s="257"/>
      <c r="W1" s="257"/>
      <c r="X1" s="257"/>
      <c r="Y1" s="257"/>
      <c r="Z1" s="257"/>
      <c r="AA1" s="257"/>
      <c r="AB1" s="257"/>
      <c r="AC1" s="257"/>
      <c r="AD1" s="257"/>
      <c r="AE1" s="257"/>
      <c r="AF1" s="257"/>
      <c r="AG1" s="257"/>
      <c r="AH1" s="257"/>
      <c r="AI1" s="257"/>
      <c r="AJ1" s="257"/>
      <c r="AK1" s="257"/>
      <c r="AL1" s="257"/>
      <c r="AM1" s="257"/>
    </row>
    <row r="2" spans="4:39">
      <c r="D2" s="623" t="s">
        <v>0</v>
      </c>
      <c r="E2" s="624"/>
      <c r="F2" s="624"/>
      <c r="G2" s="624"/>
      <c r="H2" s="624"/>
      <c r="I2" s="624"/>
      <c r="J2" s="624"/>
      <c r="K2" s="624"/>
      <c r="L2" s="624"/>
      <c r="M2" s="688"/>
      <c r="Q2" s="257"/>
      <c r="R2" s="257"/>
      <c r="S2" s="257"/>
      <c r="T2" s="257"/>
      <c r="U2" s="257"/>
      <c r="V2" s="257"/>
      <c r="W2" s="257"/>
      <c r="X2" s="257"/>
      <c r="Y2" s="257"/>
      <c r="Z2" s="257"/>
      <c r="AA2" s="257"/>
      <c r="AB2" s="257"/>
      <c r="AC2" s="257"/>
      <c r="AD2" s="257"/>
      <c r="AE2" s="257"/>
      <c r="AF2" s="257"/>
      <c r="AG2" s="257"/>
      <c r="AH2" s="257"/>
      <c r="AI2" s="257"/>
      <c r="AJ2" s="257"/>
      <c r="AK2" s="257"/>
      <c r="AL2" s="257"/>
      <c r="AM2" s="257"/>
    </row>
    <row r="3" ht="15.15" spans="4:39">
      <c r="D3" s="625"/>
      <c r="E3" s="626"/>
      <c r="F3" s="626"/>
      <c r="G3" s="626"/>
      <c r="H3" s="626"/>
      <c r="I3" s="626"/>
      <c r="J3" s="626"/>
      <c r="K3" s="626"/>
      <c r="L3" s="626"/>
      <c r="M3" s="689"/>
      <c r="Q3" s="257"/>
      <c r="R3" s="257"/>
      <c r="S3" s="257"/>
      <c r="T3" s="257"/>
      <c r="U3" s="257"/>
      <c r="V3" s="257"/>
      <c r="W3" s="257"/>
      <c r="X3" s="257"/>
      <c r="Y3" s="257"/>
      <c r="Z3" s="257"/>
      <c r="AA3" s="257"/>
      <c r="AB3" s="257"/>
      <c r="AC3" s="257"/>
      <c r="AD3" s="257"/>
      <c r="AE3" s="257"/>
      <c r="AF3" s="257"/>
      <c r="AG3" s="257"/>
      <c r="AH3" s="257"/>
      <c r="AI3" s="257"/>
      <c r="AJ3" s="257"/>
      <c r="AK3" s="257"/>
      <c r="AL3" s="257"/>
      <c r="AM3" s="257"/>
    </row>
    <row r="4" spans="4:40">
      <c r="D4" s="627" t="s">
        <v>1</v>
      </c>
      <c r="E4" s="628"/>
      <c r="F4" s="628"/>
      <c r="G4" s="628"/>
      <c r="H4" s="628"/>
      <c r="I4" s="628"/>
      <c r="J4" s="628"/>
      <c r="K4" s="628"/>
      <c r="L4" s="690"/>
      <c r="M4" s="690"/>
      <c r="Q4" s="257"/>
      <c r="R4" s="257"/>
      <c r="S4" s="257"/>
      <c r="T4" s="257"/>
      <c r="U4" s="257"/>
      <c r="V4" s="257"/>
      <c r="W4" s="257"/>
      <c r="X4" s="257"/>
      <c r="Y4" s="257"/>
      <c r="Z4" s="257"/>
      <c r="AA4" s="257"/>
      <c r="AB4" s="257"/>
      <c r="AC4" s="257"/>
      <c r="AD4" s="257"/>
      <c r="AE4" s="257"/>
      <c r="AF4" s="257"/>
      <c r="AG4" s="257"/>
      <c r="AH4" s="257"/>
      <c r="AI4" s="257"/>
      <c r="AJ4" s="257"/>
      <c r="AK4" s="257"/>
      <c r="AL4" s="257"/>
      <c r="AM4" s="257"/>
      <c r="AN4" s="257"/>
    </row>
    <row r="5" ht="15.15" spans="4:40">
      <c r="D5" s="629"/>
      <c r="E5" s="630"/>
      <c r="F5" s="630"/>
      <c r="G5" s="630"/>
      <c r="H5" s="630"/>
      <c r="I5" s="630"/>
      <c r="J5" s="630"/>
      <c r="K5" s="630"/>
      <c r="L5" s="691"/>
      <c r="M5" s="691"/>
      <c r="Q5" s="257"/>
      <c r="R5" s="315" t="s">
        <v>2</v>
      </c>
      <c r="S5" s="315"/>
      <c r="T5" s="315"/>
      <c r="U5" s="257"/>
      <c r="V5" s="257"/>
      <c r="W5" s="257"/>
      <c r="X5" s="257"/>
      <c r="Y5" s="257"/>
      <c r="Z5" s="257"/>
      <c r="AA5" s="257"/>
      <c r="AB5" s="257"/>
      <c r="AC5" s="257"/>
      <c r="AD5" s="257"/>
      <c r="AE5" s="257"/>
      <c r="AF5" s="257"/>
      <c r="AG5" s="257"/>
      <c r="AH5" s="257"/>
      <c r="AI5" s="257"/>
      <c r="AJ5" s="257"/>
      <c r="AK5" s="257"/>
      <c r="AL5" s="257"/>
      <c r="AM5" s="257"/>
      <c r="AN5" s="257"/>
    </row>
    <row r="6" spans="4:40">
      <c r="D6" s="631" t="s">
        <v>3</v>
      </c>
      <c r="E6" s="632"/>
      <c r="F6" s="632"/>
      <c r="G6" s="632"/>
      <c r="H6" s="632"/>
      <c r="I6" s="632"/>
      <c r="J6" s="632"/>
      <c r="K6" s="632"/>
      <c r="L6" s="632"/>
      <c r="M6" s="692"/>
      <c r="Q6" s="257"/>
      <c r="R6" s="315"/>
      <c r="S6" s="315"/>
      <c r="T6" s="315"/>
      <c r="U6" s="257"/>
      <c r="V6" s="257"/>
      <c r="W6" s="257"/>
      <c r="X6" s="257"/>
      <c r="Y6" s="257"/>
      <c r="Z6" s="257"/>
      <c r="AA6" s="257"/>
      <c r="AB6" s="257"/>
      <c r="AC6" s="257"/>
      <c r="AD6" s="257"/>
      <c r="AE6" s="257"/>
      <c r="AF6" s="257"/>
      <c r="AG6" s="257"/>
      <c r="AH6" s="257"/>
      <c r="AI6" s="257"/>
      <c r="AJ6" s="257"/>
      <c r="AK6" s="257"/>
      <c r="AL6" s="257"/>
      <c r="AM6" s="257"/>
      <c r="AN6" s="257"/>
    </row>
    <row r="7" ht="15.15" spans="4:40">
      <c r="D7" s="633"/>
      <c r="E7" s="632"/>
      <c r="F7" s="632"/>
      <c r="G7" s="632"/>
      <c r="H7" s="632"/>
      <c r="I7" s="632"/>
      <c r="J7" s="632"/>
      <c r="K7" s="632"/>
      <c r="L7" s="632"/>
      <c r="M7" s="692"/>
      <c r="Q7" s="257"/>
      <c r="R7" s="315"/>
      <c r="S7" s="315"/>
      <c r="T7" s="315"/>
      <c r="U7" s="257"/>
      <c r="V7" s="257"/>
      <c r="W7" s="257"/>
      <c r="X7" s="257"/>
      <c r="Y7" s="257"/>
      <c r="Z7" s="257"/>
      <c r="AA7" s="257"/>
      <c r="AB7" s="257"/>
      <c r="AC7" s="257"/>
      <c r="AD7" s="257"/>
      <c r="AE7" s="257"/>
      <c r="AF7" s="257"/>
      <c r="AG7" s="257"/>
      <c r="AH7" s="257"/>
      <c r="AI7" s="257"/>
      <c r="AJ7" s="257"/>
      <c r="AK7" s="257"/>
      <c r="AL7" s="257"/>
      <c r="AM7" s="257"/>
      <c r="AN7" s="257"/>
    </row>
    <row r="8" spans="4:40">
      <c r="D8" s="634" t="s">
        <v>4</v>
      </c>
      <c r="E8" s="635"/>
      <c r="F8" s="635"/>
      <c r="G8" s="635"/>
      <c r="H8" s="635"/>
      <c r="I8" s="635"/>
      <c r="J8" s="635"/>
      <c r="K8" s="635"/>
      <c r="L8" s="635"/>
      <c r="M8" s="693"/>
      <c r="Q8" s="257"/>
      <c r="R8" s="315"/>
      <c r="S8" s="315"/>
      <c r="T8" s="315"/>
      <c r="U8" s="257"/>
      <c r="V8" s="257"/>
      <c r="W8" s="257"/>
      <c r="X8" s="257"/>
      <c r="Y8" s="257"/>
      <c r="Z8" s="257"/>
      <c r="AA8" s="257"/>
      <c r="AB8" s="257"/>
      <c r="AC8" s="257"/>
      <c r="AD8" s="257"/>
      <c r="AE8" s="257"/>
      <c r="AF8" s="257"/>
      <c r="AG8" s="257"/>
      <c r="AH8" s="257"/>
      <c r="AI8" s="257"/>
      <c r="AJ8" s="257"/>
      <c r="AK8" s="257"/>
      <c r="AL8" s="257"/>
      <c r="AM8" s="257"/>
      <c r="AN8" s="257"/>
    </row>
    <row r="9" spans="4:40">
      <c r="D9" s="636"/>
      <c r="E9" s="637"/>
      <c r="F9" s="637"/>
      <c r="G9" s="637"/>
      <c r="H9" s="637"/>
      <c r="I9" s="637"/>
      <c r="J9" s="637"/>
      <c r="K9" s="637"/>
      <c r="L9" s="637"/>
      <c r="M9" s="694"/>
      <c r="Q9" s="257"/>
      <c r="R9" s="315"/>
      <c r="S9" s="315"/>
      <c r="T9" s="315"/>
      <c r="U9" s="257"/>
      <c r="V9" s="257"/>
      <c r="W9" s="257"/>
      <c r="X9" s="257"/>
      <c r="Y9" s="257"/>
      <c r="Z9" s="257"/>
      <c r="AA9" s="257"/>
      <c r="AB9" s="257"/>
      <c r="AC9" s="257"/>
      <c r="AD9" s="257"/>
      <c r="AE9" s="257"/>
      <c r="AF9" s="257"/>
      <c r="AG9" s="257"/>
      <c r="AH9" s="257"/>
      <c r="AI9" s="257"/>
      <c r="AJ9" s="257"/>
      <c r="AK9" s="257"/>
      <c r="AL9" s="257"/>
      <c r="AM9" s="257"/>
      <c r="AN9" s="257"/>
    </row>
    <row r="10" spans="4:40">
      <c r="D10" s="636"/>
      <c r="E10" s="637"/>
      <c r="F10" s="637"/>
      <c r="G10" s="637"/>
      <c r="H10" s="637"/>
      <c r="I10" s="637"/>
      <c r="J10" s="637"/>
      <c r="K10" s="637"/>
      <c r="L10" s="637"/>
      <c r="M10" s="694"/>
      <c r="Q10" s="257"/>
      <c r="R10" s="315"/>
      <c r="S10" s="315"/>
      <c r="T10" s="315"/>
      <c r="U10" s="257"/>
      <c r="V10" s="257"/>
      <c r="W10" s="257"/>
      <c r="X10" s="257"/>
      <c r="Y10" s="257"/>
      <c r="Z10" s="257"/>
      <c r="AA10" s="257"/>
      <c r="AB10" s="257"/>
      <c r="AC10" s="257"/>
      <c r="AD10" s="257"/>
      <c r="AE10" s="257"/>
      <c r="AF10" s="257"/>
      <c r="AG10" s="257"/>
      <c r="AH10" s="257"/>
      <c r="AI10" s="257"/>
      <c r="AJ10" s="257"/>
      <c r="AK10" s="257"/>
      <c r="AL10" s="257"/>
      <c r="AM10" s="257"/>
      <c r="AN10" s="257"/>
    </row>
    <row r="11" spans="4:40">
      <c r="D11" s="636"/>
      <c r="E11" s="637"/>
      <c r="F11" s="637"/>
      <c r="G11" s="637"/>
      <c r="H11" s="637"/>
      <c r="I11" s="637"/>
      <c r="J11" s="637"/>
      <c r="K11" s="637"/>
      <c r="L11" s="637"/>
      <c r="M11" s="694"/>
      <c r="Q11" s="257"/>
      <c r="R11" s="315"/>
      <c r="S11" s="315"/>
      <c r="T11" s="315"/>
      <c r="U11" s="257"/>
      <c r="V11" s="257"/>
      <c r="W11" s="257"/>
      <c r="X11" s="257"/>
      <c r="Y11" s="257"/>
      <c r="Z11" s="257"/>
      <c r="AA11" s="257"/>
      <c r="AB11" s="257"/>
      <c r="AC11" s="257"/>
      <c r="AD11" s="257"/>
      <c r="AE11" s="257"/>
      <c r="AF11" s="257"/>
      <c r="AG11" s="257"/>
      <c r="AH11" s="257"/>
      <c r="AI11" s="257"/>
      <c r="AJ11" s="257"/>
      <c r="AK11" s="257"/>
      <c r="AL11" s="257"/>
      <c r="AM11" s="257"/>
      <c r="AN11" s="257"/>
    </row>
    <row r="12" ht="15.15" spans="4:40">
      <c r="D12" s="638"/>
      <c r="E12" s="639"/>
      <c r="F12" s="639"/>
      <c r="G12" s="639"/>
      <c r="H12" s="639"/>
      <c r="I12" s="639"/>
      <c r="J12" s="639"/>
      <c r="K12" s="639"/>
      <c r="L12" s="639"/>
      <c r="M12" s="695"/>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row>
    <row r="13" spans="4:40">
      <c r="D13" s="640" t="s">
        <v>5</v>
      </c>
      <c r="E13" s="641"/>
      <c r="F13" s="641"/>
      <c r="G13" s="641"/>
      <c r="H13" s="641"/>
      <c r="I13" s="641"/>
      <c r="J13" s="641"/>
      <c r="K13" s="641"/>
      <c r="L13" s="641"/>
      <c r="M13" s="696"/>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row>
    <row r="14" spans="4:40">
      <c r="D14" s="642"/>
      <c r="E14" s="643"/>
      <c r="F14" s="643"/>
      <c r="G14" s="643"/>
      <c r="H14" s="643"/>
      <c r="I14" s="643"/>
      <c r="J14" s="643"/>
      <c r="K14" s="643"/>
      <c r="L14" s="643"/>
      <c r="M14" s="69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row>
    <row r="15" ht="15.15" spans="4:40">
      <c r="D15" s="644"/>
      <c r="E15" s="645"/>
      <c r="F15" s="645"/>
      <c r="G15" s="645"/>
      <c r="H15" s="645"/>
      <c r="I15" s="645"/>
      <c r="J15" s="645"/>
      <c r="K15" s="645"/>
      <c r="L15" s="645"/>
      <c r="M15" s="698"/>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row>
    <row r="16" spans="4:40">
      <c r="D16" s="646" t="s">
        <v>6</v>
      </c>
      <c r="E16" s="647"/>
      <c r="F16" s="647"/>
      <c r="G16" s="647"/>
      <c r="H16" s="647"/>
      <c r="I16" s="647"/>
      <c r="J16" s="647"/>
      <c r="K16" s="647"/>
      <c r="L16" s="647"/>
      <c r="M16" s="699"/>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row>
    <row r="17" ht="15.15" spans="4:40">
      <c r="D17" s="648"/>
      <c r="E17" s="649"/>
      <c r="F17" s="649"/>
      <c r="G17" s="649"/>
      <c r="H17" s="649"/>
      <c r="I17" s="649"/>
      <c r="J17" s="649"/>
      <c r="K17" s="649"/>
      <c r="L17" s="649"/>
      <c r="M17" s="700"/>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row>
    <row r="18" spans="4:40">
      <c r="D18" s="650" t="s">
        <v>7</v>
      </c>
      <c r="E18" s="651"/>
      <c r="F18" s="651"/>
      <c r="G18" s="651"/>
      <c r="H18" s="651"/>
      <c r="I18" s="651"/>
      <c r="J18" s="651"/>
      <c r="K18" s="651"/>
      <c r="L18" s="651"/>
      <c r="M18" s="701"/>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row>
    <row r="19" spans="4:40">
      <c r="D19" s="652"/>
      <c r="E19" s="653"/>
      <c r="F19" s="653"/>
      <c r="G19" s="653"/>
      <c r="H19" s="653"/>
      <c r="I19" s="653"/>
      <c r="J19" s="653"/>
      <c r="K19" s="653"/>
      <c r="L19" s="653"/>
      <c r="M19" s="702"/>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row>
    <row r="20" ht="16" customHeight="1" spans="4:40">
      <c r="D20" s="652"/>
      <c r="E20" s="653"/>
      <c r="F20" s="653"/>
      <c r="G20" s="653"/>
      <c r="H20" s="653"/>
      <c r="I20" s="653"/>
      <c r="J20" s="653"/>
      <c r="K20" s="653"/>
      <c r="L20" s="653"/>
      <c r="M20" s="702"/>
      <c r="Q20" s="257"/>
      <c r="R20" s="315" t="s">
        <v>8</v>
      </c>
      <c r="S20" s="315"/>
      <c r="T20" s="315"/>
      <c r="U20" s="257"/>
      <c r="V20" s="257"/>
      <c r="W20" s="257"/>
      <c r="X20" s="257"/>
      <c r="Y20" s="257"/>
      <c r="Z20" s="257"/>
      <c r="AA20" s="257"/>
      <c r="AB20" s="257"/>
      <c r="AC20" s="257"/>
      <c r="AD20" s="257"/>
      <c r="AE20" s="257"/>
      <c r="AF20" s="257"/>
      <c r="AG20" s="257"/>
      <c r="AH20" s="257"/>
      <c r="AI20" s="257"/>
      <c r="AJ20" s="257"/>
      <c r="AK20" s="257"/>
      <c r="AL20" s="257"/>
      <c r="AM20" s="257"/>
      <c r="AN20" s="257"/>
    </row>
    <row r="21" spans="4:40">
      <c r="D21" s="652"/>
      <c r="E21" s="653"/>
      <c r="F21" s="653"/>
      <c r="G21" s="653"/>
      <c r="H21" s="653"/>
      <c r="I21" s="653"/>
      <c r="J21" s="653"/>
      <c r="K21" s="653"/>
      <c r="L21" s="653"/>
      <c r="M21" s="702"/>
      <c r="Q21" s="257"/>
      <c r="R21" s="315"/>
      <c r="S21" s="315"/>
      <c r="T21" s="315"/>
      <c r="U21" s="257"/>
      <c r="V21" s="257"/>
      <c r="W21" s="257"/>
      <c r="X21" s="257"/>
      <c r="Y21" s="257"/>
      <c r="Z21" s="257"/>
      <c r="AA21" s="257"/>
      <c r="AB21" s="257"/>
      <c r="AC21" s="257"/>
      <c r="AD21" s="257"/>
      <c r="AE21" s="257"/>
      <c r="AF21" s="257"/>
      <c r="AG21" s="257"/>
      <c r="AH21" s="257"/>
      <c r="AI21" s="257"/>
      <c r="AJ21" s="257"/>
      <c r="AK21" s="257"/>
      <c r="AL21" s="257"/>
      <c r="AM21" s="257"/>
      <c r="AN21" s="257"/>
    </row>
    <row r="22" spans="4:40">
      <c r="D22" s="652"/>
      <c r="E22" s="653"/>
      <c r="F22" s="653"/>
      <c r="G22" s="653"/>
      <c r="H22" s="653"/>
      <c r="I22" s="653"/>
      <c r="J22" s="653"/>
      <c r="K22" s="653"/>
      <c r="L22" s="653"/>
      <c r="M22" s="702"/>
      <c r="Q22" s="257"/>
      <c r="R22" s="315"/>
      <c r="S22" s="315"/>
      <c r="T22" s="315"/>
      <c r="U22" s="257"/>
      <c r="V22" s="257"/>
      <c r="W22" s="257"/>
      <c r="X22" s="257"/>
      <c r="Y22" s="257"/>
      <c r="Z22" s="257"/>
      <c r="AA22" s="257"/>
      <c r="AB22" s="257"/>
      <c r="AC22" s="257"/>
      <c r="AD22" s="257"/>
      <c r="AE22" s="257"/>
      <c r="AF22" s="257"/>
      <c r="AG22" s="257"/>
      <c r="AH22" s="257"/>
      <c r="AI22" s="257"/>
      <c r="AJ22" s="257"/>
      <c r="AK22" s="257"/>
      <c r="AL22" s="257"/>
      <c r="AM22" s="257"/>
      <c r="AN22" s="257"/>
    </row>
    <row r="23" spans="4:40">
      <c r="D23" s="654"/>
      <c r="E23" s="655"/>
      <c r="F23" s="655"/>
      <c r="G23" s="655"/>
      <c r="H23" s="655"/>
      <c r="I23" s="655"/>
      <c r="J23" s="655"/>
      <c r="K23" s="655"/>
      <c r="L23" s="655"/>
      <c r="M23" s="703"/>
      <c r="Q23" s="257"/>
      <c r="R23" s="315"/>
      <c r="S23" s="315"/>
      <c r="T23" s="315"/>
      <c r="U23" s="257"/>
      <c r="V23" s="257"/>
      <c r="W23" s="257"/>
      <c r="X23" s="257"/>
      <c r="Y23" s="257"/>
      <c r="Z23" s="257"/>
      <c r="AA23" s="257"/>
      <c r="AB23" s="257"/>
      <c r="AC23" s="257"/>
      <c r="AD23" s="257"/>
      <c r="AE23" s="257"/>
      <c r="AF23" s="257"/>
      <c r="AG23" s="257"/>
      <c r="AH23" s="257"/>
      <c r="AI23" s="257"/>
      <c r="AJ23" s="257"/>
      <c r="AK23" s="257"/>
      <c r="AL23" s="257"/>
      <c r="AM23" s="257"/>
      <c r="AN23" s="257"/>
    </row>
    <row r="24" spans="4:40">
      <c r="D24" s="656"/>
      <c r="E24" s="657"/>
      <c r="F24" s="657"/>
      <c r="G24" s="657"/>
      <c r="H24" s="657"/>
      <c r="I24" s="657"/>
      <c r="J24" s="657"/>
      <c r="K24" s="657"/>
      <c r="L24" s="657"/>
      <c r="M24" s="704"/>
      <c r="Q24" s="257"/>
      <c r="R24" s="315"/>
      <c r="S24" s="315"/>
      <c r="T24" s="315"/>
      <c r="U24" s="257"/>
      <c r="V24" s="257"/>
      <c r="W24" s="257"/>
      <c r="X24" s="257"/>
      <c r="Y24" s="257"/>
      <c r="Z24" s="257"/>
      <c r="AA24" s="257"/>
      <c r="AB24" s="257"/>
      <c r="AC24" s="257"/>
      <c r="AD24" s="257"/>
      <c r="AE24" s="257"/>
      <c r="AF24" s="257"/>
      <c r="AG24" s="257"/>
      <c r="AH24" s="257"/>
      <c r="AI24" s="257"/>
      <c r="AJ24" s="257"/>
      <c r="AK24" s="257"/>
      <c r="AL24" s="257"/>
      <c r="AM24" s="257"/>
      <c r="AN24" s="257"/>
    </row>
    <row r="25" spans="4:40">
      <c r="D25" s="656"/>
      <c r="E25" s="657"/>
      <c r="F25" s="657"/>
      <c r="G25" s="657"/>
      <c r="H25" s="657"/>
      <c r="I25" s="657"/>
      <c r="J25" s="657"/>
      <c r="K25" s="657"/>
      <c r="L25" s="657"/>
      <c r="M25" s="704"/>
      <c r="Q25" s="257"/>
      <c r="R25" s="315"/>
      <c r="S25" s="315"/>
      <c r="T25" s="315"/>
      <c r="U25" s="257"/>
      <c r="V25" s="257"/>
      <c r="W25" s="257"/>
      <c r="X25" s="257"/>
      <c r="Y25" s="257"/>
      <c r="Z25" s="257"/>
      <c r="AA25" s="257"/>
      <c r="AB25" s="257"/>
      <c r="AC25" s="257"/>
      <c r="AD25" s="257"/>
      <c r="AE25" s="257"/>
      <c r="AF25" s="257"/>
      <c r="AG25" s="257"/>
      <c r="AH25" s="257"/>
      <c r="AI25" s="257"/>
      <c r="AJ25" s="257"/>
      <c r="AK25" s="257"/>
      <c r="AL25" s="257"/>
      <c r="AM25" s="257"/>
      <c r="AN25" s="257"/>
    </row>
    <row r="26" spans="4:40">
      <c r="D26" s="656"/>
      <c r="E26" s="657"/>
      <c r="F26" s="657"/>
      <c r="G26" s="657"/>
      <c r="H26" s="657"/>
      <c r="I26" s="657"/>
      <c r="J26" s="657"/>
      <c r="K26" s="657"/>
      <c r="L26" s="657"/>
      <c r="M26" s="704"/>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row>
    <row r="27" ht="15.15" spans="4:40">
      <c r="D27" s="658"/>
      <c r="E27" s="659"/>
      <c r="F27" s="659"/>
      <c r="G27" s="659"/>
      <c r="H27" s="659"/>
      <c r="I27" s="659"/>
      <c r="J27" s="659"/>
      <c r="K27" s="659"/>
      <c r="L27" s="659"/>
      <c r="M27" s="705"/>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row>
    <row r="28" spans="4:40">
      <c r="D28" s="636" t="s">
        <v>9</v>
      </c>
      <c r="E28" s="637"/>
      <c r="F28" s="637"/>
      <c r="G28" s="637"/>
      <c r="H28" s="637"/>
      <c r="I28" s="637"/>
      <c r="J28" s="637"/>
      <c r="K28" s="637"/>
      <c r="L28" s="637"/>
      <c r="M28" s="694"/>
      <c r="Q28" s="257"/>
      <c r="R28" s="315" t="s">
        <v>10</v>
      </c>
      <c r="S28" s="315"/>
      <c r="T28" s="315"/>
      <c r="U28" s="257"/>
      <c r="V28" s="257"/>
      <c r="W28" s="257"/>
      <c r="X28" s="257"/>
      <c r="Y28" s="257"/>
      <c r="Z28" s="257"/>
      <c r="AA28" s="257"/>
      <c r="AB28" s="257"/>
      <c r="AC28" s="257"/>
      <c r="AD28" s="257"/>
      <c r="AE28" s="257"/>
      <c r="AF28" s="257"/>
      <c r="AG28" s="257"/>
      <c r="AH28" s="257"/>
      <c r="AI28" s="257"/>
      <c r="AJ28" s="257"/>
      <c r="AK28" s="257"/>
      <c r="AL28" s="257"/>
      <c r="AM28" s="257"/>
      <c r="AN28" s="257"/>
    </row>
    <row r="29" spans="4:40">
      <c r="D29" s="636"/>
      <c r="E29" s="637"/>
      <c r="F29" s="637"/>
      <c r="G29" s="637"/>
      <c r="H29" s="637"/>
      <c r="I29" s="637"/>
      <c r="J29" s="637"/>
      <c r="K29" s="637"/>
      <c r="L29" s="637"/>
      <c r="M29" s="694"/>
      <c r="Q29" s="257"/>
      <c r="R29" s="315"/>
      <c r="S29" s="315"/>
      <c r="T29" s="315"/>
      <c r="U29" s="257"/>
      <c r="V29" s="257"/>
      <c r="W29" s="257"/>
      <c r="X29" s="257"/>
      <c r="Y29" s="257"/>
      <c r="Z29" s="257"/>
      <c r="AA29" s="257"/>
      <c r="AB29" s="257"/>
      <c r="AC29" s="257"/>
      <c r="AD29" s="257"/>
      <c r="AE29" s="257"/>
      <c r="AF29" s="257"/>
      <c r="AG29" s="257"/>
      <c r="AH29" s="257"/>
      <c r="AI29" s="257"/>
      <c r="AJ29" s="257"/>
      <c r="AK29" s="257"/>
      <c r="AL29" s="257"/>
      <c r="AM29" s="257"/>
      <c r="AN29" s="257"/>
    </row>
    <row r="30" spans="4:40">
      <c r="D30" s="636"/>
      <c r="E30" s="637"/>
      <c r="F30" s="637"/>
      <c r="G30" s="637"/>
      <c r="H30" s="637"/>
      <c r="I30" s="637"/>
      <c r="J30" s="637"/>
      <c r="K30" s="637"/>
      <c r="L30" s="637"/>
      <c r="M30" s="694"/>
      <c r="Q30" s="257"/>
      <c r="R30" s="315"/>
      <c r="S30" s="315"/>
      <c r="T30" s="315"/>
      <c r="U30" s="257"/>
      <c r="V30" s="257"/>
      <c r="W30" s="257"/>
      <c r="X30" s="257"/>
      <c r="Y30" s="257"/>
      <c r="Z30" s="257"/>
      <c r="AA30" s="257"/>
      <c r="AB30" s="257"/>
      <c r="AC30" s="257"/>
      <c r="AD30" s="257"/>
      <c r="AE30" s="257"/>
      <c r="AF30" s="257"/>
      <c r="AG30" s="257"/>
      <c r="AH30" s="257"/>
      <c r="AI30" s="257"/>
      <c r="AJ30" s="257"/>
      <c r="AK30" s="257"/>
      <c r="AL30" s="257"/>
      <c r="AM30" s="257"/>
      <c r="AN30" s="257"/>
    </row>
    <row r="31" ht="15.15" spans="4:40">
      <c r="D31" s="636"/>
      <c r="E31" s="637"/>
      <c r="F31" s="637"/>
      <c r="G31" s="637"/>
      <c r="H31" s="637"/>
      <c r="I31" s="637"/>
      <c r="J31" s="637"/>
      <c r="K31" s="637"/>
      <c r="L31" s="637"/>
      <c r="M31" s="694"/>
      <c r="Q31" s="257"/>
      <c r="R31" s="315"/>
      <c r="S31" s="315"/>
      <c r="T31" s="315"/>
      <c r="U31" s="257"/>
      <c r="V31" s="257"/>
      <c r="W31" s="257"/>
      <c r="X31" s="257"/>
      <c r="Y31" s="257"/>
      <c r="Z31" s="257"/>
      <c r="AA31" s="257"/>
      <c r="AB31" s="257"/>
      <c r="AC31" s="257"/>
      <c r="AD31" s="257"/>
      <c r="AE31" s="257"/>
      <c r="AF31" s="257"/>
      <c r="AG31" s="257"/>
      <c r="AH31" s="257"/>
      <c r="AI31" s="257"/>
      <c r="AJ31" s="257"/>
      <c r="AK31" s="257"/>
      <c r="AL31" s="257"/>
      <c r="AM31" s="257"/>
      <c r="AN31" s="257"/>
    </row>
    <row r="32" ht="14" customHeight="1" spans="4:40">
      <c r="D32" s="660" t="s">
        <v>11</v>
      </c>
      <c r="E32" s="661"/>
      <c r="F32" s="661"/>
      <c r="G32" s="661"/>
      <c r="H32" s="661"/>
      <c r="I32" s="661"/>
      <c r="J32" s="661"/>
      <c r="K32" s="661"/>
      <c r="L32" s="661"/>
      <c r="M32" s="706"/>
      <c r="Q32" s="257"/>
      <c r="R32" s="315"/>
      <c r="S32" s="315"/>
      <c r="T32" s="315"/>
      <c r="U32" s="257"/>
      <c r="V32" s="257"/>
      <c r="W32" s="257"/>
      <c r="X32" s="257"/>
      <c r="Y32" s="257"/>
      <c r="Z32" s="257"/>
      <c r="AA32" s="257"/>
      <c r="AB32" s="257"/>
      <c r="AC32" s="257"/>
      <c r="AD32" s="257"/>
      <c r="AE32" s="257"/>
      <c r="AF32" s="257"/>
      <c r="AG32" s="257"/>
      <c r="AH32" s="257"/>
      <c r="AI32" s="257"/>
      <c r="AJ32" s="257"/>
      <c r="AK32" s="257"/>
      <c r="AL32" s="257"/>
      <c r="AM32" s="257"/>
      <c r="AN32" s="257"/>
    </row>
    <row r="33" ht="15.15" spans="4:40">
      <c r="D33" s="662"/>
      <c r="E33" s="663"/>
      <c r="F33" s="663"/>
      <c r="G33" s="663"/>
      <c r="H33" s="663"/>
      <c r="I33" s="663"/>
      <c r="J33" s="663"/>
      <c r="K33" s="663"/>
      <c r="L33" s="663"/>
      <c r="M33" s="707"/>
      <c r="Q33" s="257"/>
      <c r="R33" s="315"/>
      <c r="S33" s="315"/>
      <c r="T33" s="315"/>
      <c r="U33" s="257"/>
      <c r="V33" s="257"/>
      <c r="W33" s="257"/>
      <c r="X33" s="257"/>
      <c r="Y33" s="257"/>
      <c r="Z33" s="257"/>
      <c r="AA33" s="257"/>
      <c r="AB33" s="257"/>
      <c r="AC33" s="257"/>
      <c r="AD33" s="257"/>
      <c r="AE33" s="257"/>
      <c r="AF33" s="257"/>
      <c r="AG33" s="257"/>
      <c r="AH33" s="257"/>
      <c r="AI33" s="257"/>
      <c r="AJ33" s="257"/>
      <c r="AK33" s="257"/>
      <c r="AL33" s="257"/>
      <c r="AM33" s="257"/>
      <c r="AN33" s="257"/>
    </row>
    <row r="34" ht="15" customHeight="1" spans="4:40">
      <c r="D34" s="664" t="s">
        <v>12</v>
      </c>
      <c r="E34" s="665"/>
      <c r="F34" s="665"/>
      <c r="G34" s="665"/>
      <c r="H34" s="665"/>
      <c r="I34" s="665"/>
      <c r="J34" s="665"/>
      <c r="K34" s="665"/>
      <c r="L34" s="665"/>
      <c r="M34" s="708"/>
      <c r="Q34" s="257"/>
      <c r="R34" s="718"/>
      <c r="S34" s="718"/>
      <c r="T34" s="718"/>
      <c r="U34" s="257"/>
      <c r="V34" s="257"/>
      <c r="W34" s="257"/>
      <c r="X34" s="257"/>
      <c r="Y34" s="257"/>
      <c r="Z34" s="257"/>
      <c r="AA34" s="257"/>
      <c r="AB34" s="257"/>
      <c r="AC34" s="257"/>
      <c r="AD34" s="257"/>
      <c r="AE34" s="257"/>
      <c r="AF34" s="257"/>
      <c r="AG34" s="257"/>
      <c r="AH34" s="257"/>
      <c r="AI34" s="257"/>
      <c r="AJ34" s="257"/>
      <c r="AK34" s="257"/>
      <c r="AL34" s="257"/>
      <c r="AM34" s="257"/>
      <c r="AN34" s="257"/>
    </row>
    <row r="35" ht="15.15" spans="4:40">
      <c r="D35" s="666"/>
      <c r="E35" s="667"/>
      <c r="F35" s="667"/>
      <c r="G35" s="667"/>
      <c r="H35" s="667"/>
      <c r="I35" s="667"/>
      <c r="J35" s="667"/>
      <c r="K35" s="667"/>
      <c r="L35" s="667"/>
      <c r="M35" s="709"/>
      <c r="Q35" s="257"/>
      <c r="R35" s="718"/>
      <c r="S35" s="718"/>
      <c r="T35" s="718"/>
      <c r="U35" s="257"/>
      <c r="V35" s="257"/>
      <c r="W35" s="257"/>
      <c r="X35" s="257"/>
      <c r="Y35" s="257"/>
      <c r="Z35" s="257"/>
      <c r="AA35" s="257"/>
      <c r="AB35" s="257"/>
      <c r="AC35" s="257"/>
      <c r="AD35" s="257"/>
      <c r="AE35" s="257"/>
      <c r="AF35" s="257"/>
      <c r="AG35" s="257"/>
      <c r="AH35" s="257"/>
      <c r="AI35" s="257"/>
      <c r="AJ35" s="257"/>
      <c r="AK35" s="257"/>
      <c r="AL35" s="257"/>
      <c r="AM35" s="257"/>
      <c r="AN35" s="257"/>
    </row>
    <row r="36" spans="4:13">
      <c r="D36" s="668" t="s">
        <v>13</v>
      </c>
      <c r="E36" s="669"/>
      <c r="F36" s="669"/>
      <c r="G36" s="669"/>
      <c r="H36" s="669"/>
      <c r="I36" s="669"/>
      <c r="J36" s="669"/>
      <c r="K36" s="669"/>
      <c r="L36" s="669"/>
      <c r="M36" s="710"/>
    </row>
    <row r="37" ht="15.15" spans="4:13">
      <c r="D37" s="670"/>
      <c r="E37" s="671"/>
      <c r="F37" s="671"/>
      <c r="G37" s="671"/>
      <c r="H37" s="671"/>
      <c r="I37" s="671"/>
      <c r="J37" s="671"/>
      <c r="K37" s="671"/>
      <c r="L37" s="671"/>
      <c r="M37" s="711"/>
    </row>
    <row r="38" spans="4:13">
      <c r="D38" s="672" t="s">
        <v>14</v>
      </c>
      <c r="E38" s="673"/>
      <c r="F38" s="673"/>
      <c r="G38" s="673"/>
      <c r="H38" s="673"/>
      <c r="I38" s="673"/>
      <c r="J38" s="673"/>
      <c r="K38" s="673"/>
      <c r="L38" s="673"/>
      <c r="M38" s="712"/>
    </row>
    <row r="39" ht="32" customHeight="1" spans="4:13">
      <c r="D39" s="674"/>
      <c r="E39" s="675"/>
      <c r="F39" s="675"/>
      <c r="G39" s="675"/>
      <c r="H39" s="675"/>
      <c r="I39" s="675"/>
      <c r="J39" s="675"/>
      <c r="K39" s="675"/>
      <c r="L39" s="675"/>
      <c r="M39" s="713"/>
    </row>
    <row r="41" ht="15.15"/>
    <row r="42" spans="2:16">
      <c r="B42" s="676" t="s">
        <v>15</v>
      </c>
      <c r="C42" s="677"/>
      <c r="D42" s="678"/>
      <c r="E42" s="679" t="s">
        <v>16</v>
      </c>
      <c r="F42" s="677"/>
      <c r="G42" s="678"/>
      <c r="H42" s="679" t="s">
        <v>17</v>
      </c>
      <c r="I42" s="677"/>
      <c r="J42" s="678"/>
      <c r="K42" s="679" t="s">
        <v>18</v>
      </c>
      <c r="L42" s="677"/>
      <c r="M42" s="678"/>
      <c r="N42" s="679" t="s">
        <v>19</v>
      </c>
      <c r="O42" s="677"/>
      <c r="P42" s="714"/>
    </row>
    <row r="43" spans="2:16">
      <c r="B43" s="680" t="s">
        <v>20</v>
      </c>
      <c r="C43" s="681"/>
      <c r="D43" s="682">
        <v>70</v>
      </c>
      <c r="E43" s="499" t="s">
        <v>21</v>
      </c>
      <c r="F43" s="499"/>
      <c r="G43" s="682">
        <v>200</v>
      </c>
      <c r="H43" s="683" t="s">
        <v>22</v>
      </c>
      <c r="I43" s="681"/>
      <c r="J43" s="682" t="s">
        <v>23</v>
      </c>
      <c r="K43" s="683" t="s">
        <v>24</v>
      </c>
      <c r="L43" s="681"/>
      <c r="M43" s="682">
        <v>12</v>
      </c>
      <c r="N43" s="683" t="s">
        <v>25</v>
      </c>
      <c r="O43" s="681"/>
      <c r="P43" s="715">
        <v>0</v>
      </c>
    </row>
    <row r="44" spans="2:16">
      <c r="B44" s="680" t="s">
        <v>26</v>
      </c>
      <c r="C44" s="681"/>
      <c r="D44" s="682">
        <v>0</v>
      </c>
      <c r="E44" s="499" t="s">
        <v>27</v>
      </c>
      <c r="F44" s="499"/>
      <c r="G44" s="682">
        <v>130</v>
      </c>
      <c r="H44" s="683" t="s">
        <v>28</v>
      </c>
      <c r="I44" s="681"/>
      <c r="J44" s="682">
        <v>6</v>
      </c>
      <c r="K44" s="683" t="s">
        <v>29</v>
      </c>
      <c r="L44" s="681"/>
      <c r="M44" s="682">
        <v>8</v>
      </c>
      <c r="N44" s="683" t="s">
        <v>30</v>
      </c>
      <c r="O44" s="681"/>
      <c r="P44" s="715">
        <v>20</v>
      </c>
    </row>
    <row r="45" spans="2:16">
      <c r="B45" s="680" t="s">
        <v>31</v>
      </c>
      <c r="C45" s="681"/>
      <c r="D45" s="682">
        <v>20</v>
      </c>
      <c r="E45" s="683" t="s">
        <v>32</v>
      </c>
      <c r="F45" s="681"/>
      <c r="G45" s="682" t="s">
        <v>33</v>
      </c>
      <c r="H45" s="683" t="s">
        <v>34</v>
      </c>
      <c r="I45" s="681"/>
      <c r="J45" s="682">
        <v>2</v>
      </c>
      <c r="K45" s="683" t="s">
        <v>35</v>
      </c>
      <c r="L45" s="681"/>
      <c r="M45" s="682">
        <v>20</v>
      </c>
      <c r="N45" s="683" t="s">
        <v>36</v>
      </c>
      <c r="O45" s="681"/>
      <c r="P45" s="715">
        <v>100</v>
      </c>
    </row>
    <row r="46" spans="2:16">
      <c r="B46" s="680" t="s">
        <v>37</v>
      </c>
      <c r="C46" s="681"/>
      <c r="D46" s="682">
        <v>60</v>
      </c>
      <c r="E46" s="499" t="s">
        <v>38</v>
      </c>
      <c r="F46" s="499"/>
      <c r="G46" s="682">
        <v>30</v>
      </c>
      <c r="H46" s="683" t="s">
        <v>39</v>
      </c>
      <c r="I46" s="681"/>
      <c r="J46" s="682">
        <v>1</v>
      </c>
      <c r="K46" s="683" t="s">
        <v>40</v>
      </c>
      <c r="L46" s="681"/>
      <c r="M46" s="682">
        <v>80</v>
      </c>
      <c r="N46" s="683" t="s">
        <v>41</v>
      </c>
      <c r="O46" s="681"/>
      <c r="P46" s="716" t="s">
        <v>42</v>
      </c>
    </row>
    <row r="47" ht="15.15" spans="2:16">
      <c r="B47" s="684" t="s">
        <v>43</v>
      </c>
      <c r="C47" s="685"/>
      <c r="D47" s="686">
        <v>50</v>
      </c>
      <c r="E47" s="509" t="s">
        <v>44</v>
      </c>
      <c r="F47" s="509"/>
      <c r="G47" s="686">
        <v>0</v>
      </c>
      <c r="H47" s="687"/>
      <c r="I47" s="685"/>
      <c r="J47" s="686"/>
      <c r="K47" s="687" t="s">
        <v>45</v>
      </c>
      <c r="L47" s="685"/>
      <c r="M47" s="686" t="s">
        <v>46</v>
      </c>
      <c r="N47" s="687"/>
      <c r="O47" s="685"/>
      <c r="P47" s="717"/>
    </row>
    <row r="48" ht="15.15" spans="2:16">
      <c r="B48" s="284" t="s">
        <v>47</v>
      </c>
      <c r="C48" s="285"/>
      <c r="D48" s="285"/>
      <c r="E48" s="285"/>
      <c r="F48" s="285"/>
      <c r="G48" s="285"/>
      <c r="H48" s="285"/>
      <c r="I48" s="285"/>
      <c r="J48" s="285"/>
      <c r="K48" s="285"/>
      <c r="L48" s="285"/>
      <c r="M48" s="285"/>
      <c r="N48" s="285"/>
      <c r="O48" s="285"/>
      <c r="P48" s="294"/>
    </row>
    <row r="59" spans="2:2">
      <c r="B59" s="31"/>
    </row>
    <row r="60" spans="2:3">
      <c r="B60" s="31"/>
      <c r="C60" s="31"/>
    </row>
    <row r="61" spans="2:3">
      <c r="B61" s="31"/>
      <c r="C61" s="31"/>
    </row>
    <row r="62" spans="3:3">
      <c r="C62" s="31"/>
    </row>
  </sheetData>
  <mergeCells count="46">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4:M5"/>
    <mergeCell ref="D32:M33"/>
    <mergeCell ref="D34:M35"/>
    <mergeCell ref="D36:M37"/>
    <mergeCell ref="D8:M12"/>
    <mergeCell ref="D13:M15"/>
    <mergeCell ref="D16:M17"/>
    <mergeCell ref="D38:M39"/>
    <mergeCell ref="D28:M31"/>
    <mergeCell ref="D18:M27"/>
    <mergeCell ref="R5:T11"/>
    <mergeCell ref="D6:M7"/>
    <mergeCell ref="R20:T25"/>
    <mergeCell ref="R28:T33"/>
  </mergeCells>
  <hyperlinks>
    <hyperlink ref="D34:M34" r:id="rId2" display="表格作者：天谴之羊（这是pvzup别看了）"/>
    <hyperlink ref="D36:M37" r:id="rId3" display="更多攻略，尽在碧蓝航线wiki"/>
    <hyperlink ref="D38:M39" r:id="rId4" display="使用了@負けん気な瞳的的科研测试数据作为模拟科研的数据支撑&#10;"/>
    <hyperlink ref="D4:L5" location="'倾向-优先级表'!A1" display="点击查看本表格填写的视频介绍"/>
    <hyperlink ref="D16:M17" location="表格使用说明!A50" display="表格使用说明下方有对倾向填写的较具体参考数值"/>
    <hyperlink ref="D4:M5" r:id="rId5" display="点击查看本表格填写的视频介绍"/>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4"/>
  <sheetViews>
    <sheetView tabSelected="1" zoomScale="80" zoomScaleNormal="80" topLeftCell="A159" workbookViewId="0">
      <selection activeCell="K111" sqref="K111"/>
    </sheetView>
  </sheetViews>
  <sheetFormatPr defaultColWidth="8.88888888888889" defaultRowHeight="14.4"/>
  <cols>
    <col min="1" max="1" width="3.88888888888889" customWidth="1"/>
    <col min="2" max="3" width="11.9444444444444" customWidth="1"/>
    <col min="4" max="4" width="9.77777777777778" customWidth="1"/>
    <col min="5" max="5" width="10.2777777777778" customWidth="1"/>
    <col min="6" max="6" width="12.2222222222222" customWidth="1"/>
    <col min="7" max="7" width="10.8888888888889" customWidth="1"/>
    <col min="8" max="8" width="10.2777777777778" customWidth="1"/>
    <col min="9" max="9" width="8.23148148148148" customWidth="1"/>
    <col min="10" max="10" width="7.88888888888889" customWidth="1"/>
    <col min="11" max="11" width="9.11111111111111" customWidth="1"/>
    <col min="12" max="12" width="9.72222222222222" customWidth="1"/>
    <col min="13" max="13" width="9.02777777777778" customWidth="1"/>
    <col min="14" max="14" width="9.77777777777778" customWidth="1"/>
    <col min="15" max="15" width="10.8888888888889" customWidth="1"/>
    <col min="16" max="16" width="9.88888888888889" customWidth="1"/>
    <col min="17" max="17" width="10.2222222222222" customWidth="1"/>
    <col min="18" max="18" width="16.8888888888889" customWidth="1"/>
    <col min="19" max="19" width="8.88888888888889" customWidth="1"/>
    <col min="20" max="20" width="11.8055555555556" customWidth="1"/>
    <col min="24" max="24" width="15.4444444444444" customWidth="1"/>
  </cols>
  <sheetData>
    <row r="1" ht="17.55" spans="1:29">
      <c r="A1" s="358"/>
      <c r="B1" s="359"/>
      <c r="C1" s="360" t="s">
        <v>48</v>
      </c>
      <c r="D1" s="361"/>
      <c r="E1" s="358"/>
      <c r="F1" s="358"/>
      <c r="G1" s="358"/>
      <c r="H1" s="358"/>
      <c r="I1" s="358"/>
      <c r="J1" s="358"/>
      <c r="K1" s="358"/>
      <c r="L1" s="358"/>
      <c r="M1" s="358"/>
      <c r="N1" s="358"/>
      <c r="O1" s="358"/>
      <c r="P1" s="358"/>
      <c r="Q1" s="358"/>
      <c r="R1" s="358"/>
      <c r="S1" s="358"/>
      <c r="T1" s="358"/>
      <c r="U1" s="358"/>
      <c r="V1" s="358"/>
      <c r="W1" s="358"/>
      <c r="X1" s="364"/>
      <c r="Y1" s="364"/>
      <c r="Z1" s="364"/>
      <c r="AA1" s="364"/>
      <c r="AB1" s="364"/>
      <c r="AC1" s="364"/>
    </row>
    <row r="2" ht="22.95" spans="1:29">
      <c r="A2" s="358"/>
      <c r="B2" s="359"/>
      <c r="C2" s="362"/>
      <c r="D2" s="363"/>
      <c r="E2" s="364"/>
      <c r="F2" s="365" t="s">
        <v>49</v>
      </c>
      <c r="G2" s="366"/>
      <c r="H2" s="366"/>
      <c r="I2" s="366"/>
      <c r="J2" s="366"/>
      <c r="K2" s="366"/>
      <c r="L2" s="366"/>
      <c r="M2" s="366"/>
      <c r="N2" s="366"/>
      <c r="O2" s="467"/>
      <c r="P2" s="468"/>
      <c r="Q2" s="468"/>
      <c r="R2" s="522" t="s">
        <v>50</v>
      </c>
      <c r="S2" s="523"/>
      <c r="T2" s="524"/>
      <c r="U2" s="358"/>
      <c r="V2" s="358"/>
      <c r="W2" s="358"/>
      <c r="X2" s="358"/>
      <c r="Y2" s="358"/>
      <c r="Z2" s="358"/>
      <c r="AA2" s="358"/>
      <c r="AB2" s="358"/>
      <c r="AC2" s="358"/>
    </row>
    <row r="3" ht="22.95" spans="1:29">
      <c r="A3" s="358"/>
      <c r="B3" s="358"/>
      <c r="C3" s="358"/>
      <c r="D3" s="358"/>
      <c r="E3" s="358"/>
      <c r="F3" s="367"/>
      <c r="G3" s="368"/>
      <c r="H3" s="368"/>
      <c r="I3" s="368"/>
      <c r="J3" s="368"/>
      <c r="K3" s="368"/>
      <c r="L3" s="368"/>
      <c r="M3" s="368"/>
      <c r="N3" s="368"/>
      <c r="O3" s="469"/>
      <c r="P3" s="468"/>
      <c r="Q3" s="257"/>
      <c r="R3" s="525"/>
      <c r="S3" s="526"/>
      <c r="T3" s="527"/>
      <c r="U3" s="358"/>
      <c r="V3" s="358"/>
      <c r="W3" s="358"/>
      <c r="X3" s="358"/>
      <c r="Y3" s="358"/>
      <c r="Z3" s="358"/>
      <c r="AA3" s="358"/>
      <c r="AB3" s="358"/>
      <c r="AC3" s="358"/>
    </row>
    <row r="4" ht="22.2" spans="1:29">
      <c r="A4" s="369"/>
      <c r="B4" s="257"/>
      <c r="C4" t="s">
        <v>51</v>
      </c>
      <c r="D4" s="257"/>
      <c r="E4" s="257"/>
      <c r="F4" s="257"/>
      <c r="H4" s="370"/>
      <c r="I4" s="370"/>
      <c r="J4" s="370"/>
      <c r="K4" s="370"/>
      <c r="L4" s="370"/>
      <c r="M4" s="370"/>
      <c r="N4" s="370"/>
      <c r="O4" s="370"/>
      <c r="P4" s="470"/>
      <c r="Q4" s="257"/>
      <c r="R4" s="257"/>
      <c r="S4" s="257"/>
      <c r="T4" s="257"/>
      <c r="U4" s="358"/>
      <c r="V4" s="358"/>
      <c r="W4" s="358"/>
      <c r="X4" s="358"/>
      <c r="Y4" s="358"/>
      <c r="Z4" s="358"/>
      <c r="AA4" s="358"/>
      <c r="AB4" s="358"/>
      <c r="AC4" s="358"/>
    </row>
    <row r="5" ht="21" customHeight="1" spans="1:29">
      <c r="A5" s="369"/>
      <c r="B5" s="257"/>
      <c r="C5" s="257"/>
      <c r="D5" s="371" t="str">
        <f>IF(E8&gt;3,"4期金船一共只有3艘哦","")</f>
        <v/>
      </c>
      <c r="E5" s="371"/>
      <c r="F5" s="371"/>
      <c r="G5" s="372" t="str">
        <f>IF(H8&gt;2,"4期彩船一共只有2艘哦","")</f>
        <v/>
      </c>
      <c r="H5" s="372"/>
      <c r="I5" s="372"/>
      <c r="J5" s="372"/>
      <c r="K5" s="372" t="str">
        <f>IF(L8&gt;11,"2/3期科研船一共只有11艘哦","")</f>
        <v/>
      </c>
      <c r="L5" s="372"/>
      <c r="M5" s="372"/>
      <c r="N5" s="372"/>
      <c r="O5" s="470"/>
      <c r="P5" s="470"/>
      <c r="Q5" s="257"/>
      <c r="R5" s="257"/>
      <c r="S5" s="470"/>
      <c r="T5" s="358"/>
      <c r="U5" s="358"/>
      <c r="V5" s="358"/>
      <c r="W5" s="358"/>
      <c r="X5" s="358"/>
      <c r="Y5" s="358"/>
      <c r="Z5" s="358"/>
      <c r="AA5" s="358"/>
      <c r="AB5" s="358"/>
      <c r="AC5" s="358"/>
    </row>
    <row r="6" ht="17" customHeight="1" spans="1:29">
      <c r="A6" s="369"/>
      <c r="B6" s="373" t="s">
        <v>52</v>
      </c>
      <c r="C6" s="374" t="s">
        <v>53</v>
      </c>
      <c r="D6" s="375"/>
      <c r="E6" s="376">
        <v>158.97</v>
      </c>
      <c r="F6" s="377" t="s">
        <v>54</v>
      </c>
      <c r="G6" s="378"/>
      <c r="H6" s="379">
        <f>白天模拟!AB28</f>
        <v>158.966058796541</v>
      </c>
      <c r="I6" s="1" t="s">
        <v>55</v>
      </c>
      <c r="J6" s="160"/>
      <c r="K6" s="160"/>
      <c r="L6" s="160"/>
      <c r="M6" s="160"/>
      <c r="N6" s="160"/>
      <c r="O6" s="471" t="s">
        <v>56</v>
      </c>
      <c r="P6" s="472"/>
      <c r="Q6" s="475">
        <f>100*(I15*N117+L117*I16+K117*I17+I18*M117)/(24*G115+E17*I117+J117*E18)</f>
        <v>144.288166330048</v>
      </c>
      <c r="R6" s="472"/>
      <c r="S6" s="528" t="s">
        <v>57</v>
      </c>
      <c r="T6" s="529"/>
      <c r="U6" s="358"/>
      <c r="V6" s="358"/>
      <c r="W6" s="358"/>
      <c r="X6" s="358"/>
      <c r="Y6" s="358"/>
      <c r="Z6" s="358"/>
      <c r="AA6" s="358"/>
      <c r="AB6" s="358"/>
      <c r="AC6" s="358"/>
    </row>
    <row r="7" ht="17" customHeight="1" spans="1:29">
      <c r="A7" s="369"/>
      <c r="B7" s="380"/>
      <c r="C7" s="381" t="s">
        <v>58</v>
      </c>
      <c r="D7" s="382"/>
      <c r="E7" s="376">
        <v>68.63</v>
      </c>
      <c r="F7" s="383" t="s">
        <v>54</v>
      </c>
      <c r="G7" s="384"/>
      <c r="H7" s="385">
        <f>夜晚模拟!AB28</f>
        <v>68.6287779338834</v>
      </c>
      <c r="I7" s="473" t="s">
        <v>55</v>
      </c>
      <c r="J7" s="474"/>
      <c r="K7" s="474"/>
      <c r="L7" s="474"/>
      <c r="M7" s="474"/>
      <c r="N7" s="474"/>
      <c r="O7" s="471" t="s">
        <v>59</v>
      </c>
      <c r="P7" s="475"/>
      <c r="Q7" s="475"/>
      <c r="R7" s="472"/>
      <c r="S7" s="530"/>
      <c r="T7" s="531"/>
      <c r="U7" s="358"/>
      <c r="V7" s="358"/>
      <c r="W7" s="358"/>
      <c r="X7" s="358"/>
      <c r="Y7" s="358"/>
      <c r="Z7" s="358"/>
      <c r="AA7" s="358"/>
      <c r="AB7" s="358"/>
      <c r="AC7" s="358"/>
    </row>
    <row r="8" ht="16" customHeight="1" spans="1:29">
      <c r="A8" s="369"/>
      <c r="B8" s="380"/>
      <c r="C8" s="386" t="s">
        <v>60</v>
      </c>
      <c r="D8" s="387"/>
      <c r="E8" s="388">
        <v>3</v>
      </c>
      <c r="F8" s="160" t="s">
        <v>61</v>
      </c>
      <c r="G8" s="160"/>
      <c r="H8" s="389">
        <v>2</v>
      </c>
      <c r="I8" s="160" t="s">
        <v>62</v>
      </c>
      <c r="J8" s="160"/>
      <c r="K8" s="160"/>
      <c r="L8" s="388">
        <v>2</v>
      </c>
      <c r="M8" s="476" t="s">
        <v>63</v>
      </c>
      <c r="N8" s="476"/>
      <c r="O8" s="476"/>
      <c r="P8" s="476"/>
      <c r="Q8" s="476"/>
      <c r="R8" s="375"/>
      <c r="S8" s="530"/>
      <c r="T8" s="531"/>
      <c r="U8" s="358"/>
      <c r="V8" s="358"/>
      <c r="W8" s="358"/>
      <c r="X8" s="358"/>
      <c r="Y8" s="358"/>
      <c r="Z8" s="358"/>
      <c r="AA8" s="358"/>
      <c r="AB8" s="358"/>
      <c r="AC8" s="358"/>
    </row>
    <row r="9" ht="16.35" spans="1:29">
      <c r="A9" s="358"/>
      <c r="B9" s="380"/>
      <c r="C9" s="1" t="s">
        <v>64</v>
      </c>
      <c r="D9" s="2"/>
      <c r="E9" s="390">
        <v>0</v>
      </c>
      <c r="F9" s="391" t="s">
        <v>65</v>
      </c>
      <c r="G9" s="392"/>
      <c r="H9" s="392"/>
      <c r="I9" s="392"/>
      <c r="J9" s="392"/>
      <c r="K9" s="392"/>
      <c r="L9" s="392"/>
      <c r="M9" s="392"/>
      <c r="N9" s="392"/>
      <c r="O9" s="392"/>
      <c r="P9" s="392"/>
      <c r="Q9" s="392"/>
      <c r="R9" s="532"/>
      <c r="S9" s="530"/>
      <c r="T9" s="531"/>
      <c r="U9" s="358"/>
      <c r="V9" s="358"/>
      <c r="W9" s="358"/>
      <c r="X9" s="358"/>
      <c r="Y9" s="358"/>
      <c r="Z9" s="358"/>
      <c r="AA9" s="358"/>
      <c r="AB9" s="358"/>
      <c r="AC9" s="358"/>
    </row>
    <row r="10" ht="16.35" spans="1:29">
      <c r="A10" s="358"/>
      <c r="B10" s="380"/>
      <c r="C10" s="393" t="s">
        <v>66</v>
      </c>
      <c r="D10" s="394"/>
      <c r="E10" s="390">
        <v>100</v>
      </c>
      <c r="F10" s="395" t="s">
        <v>67</v>
      </c>
      <c r="G10" s="396"/>
      <c r="H10" s="396"/>
      <c r="I10" s="396"/>
      <c r="J10" s="396"/>
      <c r="K10" s="396"/>
      <c r="L10" s="396"/>
      <c r="M10" s="396"/>
      <c r="N10" s="396"/>
      <c r="O10" s="396"/>
      <c r="P10" s="396"/>
      <c r="Q10" s="396"/>
      <c r="R10" s="533"/>
      <c r="S10" s="530"/>
      <c r="T10" s="531"/>
      <c r="U10" s="257"/>
      <c r="V10" s="257"/>
      <c r="W10" s="257"/>
      <c r="X10" s="257"/>
      <c r="Y10" s="358"/>
      <c r="Z10" s="358"/>
      <c r="AA10" s="358"/>
      <c r="AB10" s="358"/>
      <c r="AC10" s="358"/>
    </row>
    <row r="11" ht="16.35" spans="1:29">
      <c r="A11" s="358"/>
      <c r="B11" s="380"/>
      <c r="C11" s="397" t="s">
        <v>19</v>
      </c>
      <c r="D11" s="398"/>
      <c r="E11" s="390">
        <v>0</v>
      </c>
      <c r="F11" s="399" t="s">
        <v>68</v>
      </c>
      <c r="G11" s="400"/>
      <c r="H11" s="400"/>
      <c r="I11" s="400"/>
      <c r="J11" s="400"/>
      <c r="K11" s="400"/>
      <c r="L11" s="400"/>
      <c r="M11" s="400"/>
      <c r="N11" s="400"/>
      <c r="O11" s="400"/>
      <c r="P11" s="400"/>
      <c r="Q11" s="400"/>
      <c r="R11" s="534"/>
      <c r="S11" s="530"/>
      <c r="T11" s="531"/>
      <c r="U11" s="257"/>
      <c r="V11" s="257"/>
      <c r="W11" s="257"/>
      <c r="X11" s="257"/>
      <c r="Y11" s="358"/>
      <c r="Z11" s="358"/>
      <c r="AA11" s="358"/>
      <c r="AB11" s="358"/>
      <c r="AC11" s="358"/>
    </row>
    <row r="12" ht="16.35" spans="1:29">
      <c r="A12" s="358"/>
      <c r="B12" s="380"/>
      <c r="C12" s="401" t="s">
        <v>69</v>
      </c>
      <c r="D12" s="402"/>
      <c r="E12" s="403">
        <v>0</v>
      </c>
      <c r="F12" s="404" t="s">
        <v>70</v>
      </c>
      <c r="G12" s="405" t="s">
        <v>71</v>
      </c>
      <c r="H12" s="406"/>
      <c r="I12" s="406"/>
      <c r="J12" s="406"/>
      <c r="K12" s="406"/>
      <c r="L12" s="406"/>
      <c r="M12" s="406"/>
      <c r="N12" s="406"/>
      <c r="O12" s="406"/>
      <c r="P12" s="406"/>
      <c r="Q12" s="406"/>
      <c r="R12" s="535"/>
      <c r="S12" s="530"/>
      <c r="T12" s="531"/>
      <c r="U12" s="257"/>
      <c r="V12" s="257"/>
      <c r="W12" s="257"/>
      <c r="X12" s="257"/>
      <c r="Y12" s="358"/>
      <c r="Z12" s="358"/>
      <c r="AA12" s="358"/>
      <c r="AB12" s="358"/>
      <c r="AC12" s="358"/>
    </row>
    <row r="13" ht="16.35" spans="1:29">
      <c r="A13" s="358"/>
      <c r="B13" s="380"/>
      <c r="C13" s="407" t="s">
        <v>72</v>
      </c>
      <c r="D13" s="408"/>
      <c r="E13" s="409">
        <v>2</v>
      </c>
      <c r="F13" s="410" t="s">
        <v>73</v>
      </c>
      <c r="G13" s="411" t="s">
        <v>74</v>
      </c>
      <c r="H13" s="412"/>
      <c r="I13" s="477"/>
      <c r="J13" s="403">
        <v>18</v>
      </c>
      <c r="K13" s="478" t="s">
        <v>75</v>
      </c>
      <c r="L13" s="479" t="s">
        <v>76</v>
      </c>
      <c r="M13" s="480"/>
      <c r="N13" s="480"/>
      <c r="O13" s="480"/>
      <c r="P13" s="480"/>
      <c r="Q13" s="480"/>
      <c r="R13" s="536"/>
      <c r="S13" s="530"/>
      <c r="T13" s="531"/>
      <c r="U13" s="257"/>
      <c r="V13" s="257"/>
      <c r="W13" s="257"/>
      <c r="X13" s="257"/>
      <c r="Y13" s="358"/>
      <c r="Z13" s="358"/>
      <c r="AA13" s="358"/>
      <c r="AB13" s="358"/>
      <c r="AC13" s="358"/>
    </row>
    <row r="14" ht="16.35" spans="1:29">
      <c r="A14" s="358"/>
      <c r="B14" s="413"/>
      <c r="C14" s="414" t="s">
        <v>77</v>
      </c>
      <c r="D14" s="415"/>
      <c r="E14" s="403">
        <v>60</v>
      </c>
      <c r="F14" s="416" t="s">
        <v>78</v>
      </c>
      <c r="G14" s="417" t="s">
        <v>79</v>
      </c>
      <c r="H14" s="418"/>
      <c r="I14" s="481">
        <v>13</v>
      </c>
      <c r="J14" s="482" t="s">
        <v>80</v>
      </c>
      <c r="K14" s="483"/>
      <c r="L14" s="484" t="s">
        <v>81</v>
      </c>
      <c r="M14" s="485"/>
      <c r="N14" s="486">
        <v>13</v>
      </c>
      <c r="O14" s="487" t="s">
        <v>80</v>
      </c>
      <c r="P14" s="488"/>
      <c r="Q14" s="488"/>
      <c r="R14" s="537"/>
      <c r="S14" s="538"/>
      <c r="T14" s="539"/>
      <c r="U14" s="257"/>
      <c r="V14" s="257"/>
      <c r="W14" s="257"/>
      <c r="X14" s="257"/>
      <c r="Y14" s="358"/>
      <c r="Z14" s="358"/>
      <c r="AA14" s="358"/>
      <c r="AB14" s="358"/>
      <c r="AC14" s="358"/>
    </row>
    <row r="15" ht="15.6" spans="1:28">
      <c r="A15" s="358"/>
      <c r="B15" s="419" t="s">
        <v>82</v>
      </c>
      <c r="C15" s="420" t="s">
        <v>83</v>
      </c>
      <c r="D15" s="421"/>
      <c r="E15" s="422">
        <f>J13</f>
        <v>18</v>
      </c>
      <c r="F15" s="423"/>
      <c r="G15" s="424" t="s">
        <v>84</v>
      </c>
      <c r="H15" s="425"/>
      <c r="I15" s="489">
        <f>白天模拟!U60+夜晚模拟!U60</f>
        <v>0.842059835391134</v>
      </c>
      <c r="J15" s="490"/>
      <c r="K15" s="491" t="s">
        <v>85</v>
      </c>
      <c r="L15" s="492"/>
      <c r="M15" s="492"/>
      <c r="N15" s="493"/>
      <c r="O15" s="494" t="s">
        <v>86</v>
      </c>
      <c r="P15" s="495"/>
      <c r="Q15" s="540">
        <f>白天模拟!V28</f>
        <v>0.257498837164103</v>
      </c>
      <c r="R15" s="541" t="str">
        <f>VLOOKUP(1,数据表!C38:D44,2,0)</f>
        <v>激进策略</v>
      </c>
      <c r="S15" s="542"/>
      <c r="T15" s="257"/>
      <c r="U15" s="257"/>
      <c r="V15" s="257"/>
      <c r="W15" s="257"/>
      <c r="X15" s="358"/>
      <c r="Y15" s="358"/>
      <c r="Z15" s="358"/>
      <c r="AA15" s="358"/>
      <c r="AB15" s="358"/>
    </row>
    <row r="16" ht="16.35" spans="1:28">
      <c r="A16" s="358"/>
      <c r="B16" s="426"/>
      <c r="C16" s="427" t="s">
        <v>87</v>
      </c>
      <c r="D16" s="428"/>
      <c r="E16" s="429">
        <f>1+白天模拟!O60</f>
        <v>10.9644475632784</v>
      </c>
      <c r="F16" s="430"/>
      <c r="G16" s="431" t="s">
        <v>88</v>
      </c>
      <c r="H16" s="432"/>
      <c r="I16" s="496">
        <f>白天模拟!T60+夜晚模拟!T60</f>
        <v>2.68956943476748</v>
      </c>
      <c r="J16" s="497"/>
      <c r="K16" s="498" t="s">
        <v>89</v>
      </c>
      <c r="L16" s="499"/>
      <c r="M16" s="500">
        <f ca="1">I15*数据表!B49</f>
        <v>307.351839917764</v>
      </c>
      <c r="N16" s="501"/>
      <c r="O16" s="502" t="s">
        <v>90</v>
      </c>
      <c r="P16" s="503"/>
      <c r="Q16" s="543">
        <f>(1-白天模拟!T28)</f>
        <v>0.589009299507073</v>
      </c>
      <c r="R16" s="544"/>
      <c r="S16" s="545"/>
      <c r="T16" s="257"/>
      <c r="U16" s="257"/>
      <c r="V16" s="257"/>
      <c r="W16" s="257"/>
      <c r="X16" s="358"/>
      <c r="Y16" s="358"/>
      <c r="Z16" s="358"/>
      <c r="AA16" s="358"/>
      <c r="AB16" s="358"/>
    </row>
    <row r="17" ht="15.6" spans="1:28">
      <c r="A17" s="358"/>
      <c r="B17" s="426"/>
      <c r="C17" s="427" t="s">
        <v>91</v>
      </c>
      <c r="D17" s="428"/>
      <c r="E17" s="433">
        <f>白天模拟!AC60+夜晚模拟!AC60</f>
        <v>0.99285606449815</v>
      </c>
      <c r="F17" s="197"/>
      <c r="G17" s="427" t="s">
        <v>92</v>
      </c>
      <c r="H17" s="428"/>
      <c r="I17" s="504">
        <f>白天模拟!S60+夜晚模拟!S60</f>
        <v>6.65909124068623</v>
      </c>
      <c r="J17" s="496"/>
      <c r="K17" s="498" t="s">
        <v>93</v>
      </c>
      <c r="L17" s="499"/>
      <c r="M17" s="500">
        <f ca="1">I16*数据表!B49</f>
        <v>981.69284369013</v>
      </c>
      <c r="N17" s="501"/>
      <c r="O17" s="495" t="s">
        <v>94</v>
      </c>
      <c r="P17" s="505"/>
      <c r="Q17" s="505"/>
      <c r="R17" s="546">
        <f>夜晚模拟!T29*(1-Q16)+Q16</f>
        <v>0.677136343195008</v>
      </c>
      <c r="S17" s="257"/>
      <c r="T17" s="257"/>
      <c r="U17" s="257"/>
      <c r="V17" s="257"/>
      <c r="W17" s="257"/>
      <c r="X17" s="358"/>
      <c r="Y17" s="358"/>
      <c r="Z17" s="358"/>
      <c r="AA17" s="358"/>
      <c r="AB17" s="358"/>
    </row>
    <row r="18" ht="16.35" spans="1:28">
      <c r="A18" s="358"/>
      <c r="B18" s="434"/>
      <c r="C18" s="435" t="s">
        <v>95</v>
      </c>
      <c r="D18" s="436"/>
      <c r="E18" s="437">
        <f>白天模拟!AB60+夜晚模拟!AB60</f>
        <v>16782.1780200524</v>
      </c>
      <c r="F18" s="438"/>
      <c r="G18" s="439" t="s">
        <v>96</v>
      </c>
      <c r="H18" s="440"/>
      <c r="I18" s="506">
        <f>白天模拟!W60+夜晚模拟!W60</f>
        <v>4.62980151207752</v>
      </c>
      <c r="J18" s="507"/>
      <c r="K18" s="508" t="s">
        <v>97</v>
      </c>
      <c r="L18" s="509"/>
      <c r="M18" s="510">
        <f ca="1">I17*数据表!B49</f>
        <v>2430.56830285047</v>
      </c>
      <c r="N18" s="511"/>
      <c r="O18" s="503" t="s">
        <v>98</v>
      </c>
      <c r="P18" s="512"/>
      <c r="Q18" s="512"/>
      <c r="R18" s="547">
        <f>夜晚模拟!V28</f>
        <v>0.402694395184916</v>
      </c>
      <c r="S18" s="548"/>
      <c r="T18" s="257"/>
      <c r="U18" s="257"/>
      <c r="V18" s="257"/>
      <c r="W18" s="257"/>
      <c r="X18" s="358"/>
      <c r="Y18" s="358"/>
      <c r="Z18" s="358"/>
      <c r="AA18" s="358"/>
      <c r="AB18" s="358"/>
    </row>
    <row r="19" ht="16.35" spans="1:28">
      <c r="A19" s="358"/>
      <c r="B19" s="441" t="s">
        <v>99</v>
      </c>
      <c r="C19" s="442" t="s">
        <v>100</v>
      </c>
      <c r="D19" s="443" t="s">
        <v>101</v>
      </c>
      <c r="E19" s="282" t="s">
        <v>102</v>
      </c>
      <c r="F19" s="282"/>
      <c r="G19" s="444" t="s">
        <v>103</v>
      </c>
      <c r="H19" s="443" t="s">
        <v>101</v>
      </c>
      <c r="I19" s="282" t="s">
        <v>102</v>
      </c>
      <c r="J19" s="282"/>
      <c r="K19" s="444" t="s">
        <v>103</v>
      </c>
      <c r="L19" s="513" t="s">
        <v>104</v>
      </c>
      <c r="M19" s="443" t="s">
        <v>101</v>
      </c>
      <c r="N19" s="282" t="s">
        <v>102</v>
      </c>
      <c r="O19" s="282"/>
      <c r="P19" s="444" t="s">
        <v>103</v>
      </c>
      <c r="Q19" s="443" t="s">
        <v>101</v>
      </c>
      <c r="R19" s="282" t="s">
        <v>102</v>
      </c>
      <c r="S19" s="444" t="s">
        <v>103</v>
      </c>
      <c r="T19" s="257"/>
      <c r="U19" s="257"/>
      <c r="V19" s="257"/>
      <c r="W19" s="257"/>
      <c r="X19" s="358"/>
      <c r="Y19" s="358"/>
      <c r="Z19" s="358"/>
      <c r="AA19" s="358"/>
      <c r="AB19" s="358"/>
    </row>
    <row r="20" ht="15.6" spans="1:28">
      <c r="A20" s="358"/>
      <c r="B20" s="445"/>
      <c r="C20" s="446"/>
      <c r="D20" s="447">
        <v>1</v>
      </c>
      <c r="E20" s="448" t="str">
        <f>VLOOKUP(1,数据表!A1:B26,2,0)</f>
        <v>舰装解析0.5h</v>
      </c>
      <c r="F20" s="448"/>
      <c r="G20" s="449" t="str">
        <f>IF(D20&gt;I14,"是","否")</f>
        <v>否</v>
      </c>
      <c r="H20" s="447">
        <v>14</v>
      </c>
      <c r="I20" s="448" t="str">
        <f>VLOOKUP(14,数据表!A1:B26,2,0)</f>
        <v>资金募集2.5h</v>
      </c>
      <c r="J20" s="448"/>
      <c r="K20" s="449" t="str">
        <f>IF(H20&gt;I14,"是","否")</f>
        <v>是</v>
      </c>
      <c r="L20" s="514"/>
      <c r="M20" s="447">
        <v>1</v>
      </c>
      <c r="N20" s="448" t="str">
        <f>VLOOKUP(1,数据表!C1:D26,2,0)</f>
        <v>舰装解析0.5h</v>
      </c>
      <c r="O20" s="448"/>
      <c r="P20" s="449" t="str">
        <f>IF(M20&gt;N14,"是","否")</f>
        <v>否</v>
      </c>
      <c r="Q20" s="447">
        <v>14</v>
      </c>
      <c r="R20" s="448" t="str">
        <f>VLOOKUP(14,数据表!C1:D26,2,0)</f>
        <v>基础研究8h</v>
      </c>
      <c r="S20" s="449" t="str">
        <f>IF(Q20&gt;N14,"是","否")</f>
        <v>是</v>
      </c>
      <c r="T20" s="257"/>
      <c r="U20" s="257"/>
      <c r="V20" s="257"/>
      <c r="W20" s="257"/>
      <c r="X20" s="358"/>
      <c r="Y20" s="358"/>
      <c r="Z20" s="358"/>
      <c r="AA20" s="358"/>
      <c r="AB20" s="358"/>
    </row>
    <row r="21" ht="15.6" spans="1:28">
      <c r="A21" s="358"/>
      <c r="B21" s="445"/>
      <c r="C21" s="446"/>
      <c r="D21" s="450">
        <v>2</v>
      </c>
      <c r="E21" s="451" t="str">
        <f>VLOOKUP(2,数据表!A1:B26,2,0)</f>
        <v>彩船定向0.5h</v>
      </c>
      <c r="F21" s="451"/>
      <c r="G21" s="452" t="str">
        <f>IF(D21&gt;I14,"是","否")</f>
        <v>否</v>
      </c>
      <c r="H21" s="450">
        <v>15</v>
      </c>
      <c r="I21" s="451" t="str">
        <f>VLOOKUP(15,数据表!A1:B26,2,0)</f>
        <v>金数据收集4h</v>
      </c>
      <c r="J21" s="451"/>
      <c r="K21" s="452" t="str">
        <f>IF(H21&gt;I14,"是","否")</f>
        <v>是</v>
      </c>
      <c r="L21" s="514"/>
      <c r="M21" s="450">
        <v>2</v>
      </c>
      <c r="N21" s="451" t="str">
        <f>VLOOKUP(2,数据表!C1:D26,2,0)</f>
        <v>舰装解析4h</v>
      </c>
      <c r="O21" s="451"/>
      <c r="P21" s="452" t="str">
        <f>IF(M21&gt;N14,"是","否")</f>
        <v>否</v>
      </c>
      <c r="Q21" s="450">
        <v>15</v>
      </c>
      <c r="R21" s="451" t="str">
        <f>VLOOKUP(15,数据表!C1:D26,2,0)</f>
        <v>金船定向2.5h</v>
      </c>
      <c r="S21" s="452" t="str">
        <f>IF(Q21&gt;N14,"是","否")</f>
        <v>是</v>
      </c>
      <c r="T21" s="257"/>
      <c r="U21" s="257"/>
      <c r="V21" s="257"/>
      <c r="W21" s="257"/>
      <c r="X21" s="358"/>
      <c r="Y21" s="358"/>
      <c r="Z21" s="358"/>
      <c r="AA21" s="358"/>
      <c r="AB21" s="358"/>
    </row>
    <row r="22" ht="15.6" spans="1:28">
      <c r="A22" s="358"/>
      <c r="B22" s="445"/>
      <c r="C22" s="446"/>
      <c r="D22" s="450">
        <v>3</v>
      </c>
      <c r="E22" s="451" t="str">
        <f>VLOOKUP(3,数据表!A1:B26,2,0)</f>
        <v>金船定向0.5h</v>
      </c>
      <c r="F22" s="451"/>
      <c r="G22" s="452" t="str">
        <f>IF(D22&gt;I14,"是","否")</f>
        <v>否</v>
      </c>
      <c r="H22" s="450">
        <v>16</v>
      </c>
      <c r="I22" s="451" t="str">
        <f>VLOOKUP(16,数据表!A1:B26,2,0)</f>
        <v>魔方解析1h</v>
      </c>
      <c r="J22" s="451"/>
      <c r="K22" s="452" t="str">
        <f>IF(H22&gt;I14,"是","否")</f>
        <v>是</v>
      </c>
      <c r="L22" s="514"/>
      <c r="M22" s="450">
        <v>3</v>
      </c>
      <c r="N22" s="451" t="str">
        <f>VLOOKUP(3,数据表!C1:D26,2,0)</f>
        <v>彩船定向0.5h</v>
      </c>
      <c r="O22" s="451"/>
      <c r="P22" s="452" t="str">
        <f>IF(M22&gt;N14,"是","否")</f>
        <v>否</v>
      </c>
      <c r="Q22" s="450">
        <v>16</v>
      </c>
      <c r="R22" s="451" t="str">
        <f>VLOOKUP(16,数据表!C1:D26,2,0)</f>
        <v>舰装解析1h</v>
      </c>
      <c r="S22" s="452" t="str">
        <f>IF(Q22&gt;N14,"是","否")</f>
        <v>是</v>
      </c>
      <c r="T22" s="257"/>
      <c r="U22" s="257"/>
      <c r="V22" s="257"/>
      <c r="W22" s="257"/>
      <c r="X22" s="358"/>
      <c r="Y22" s="358"/>
      <c r="Z22" s="358"/>
      <c r="AA22" s="358"/>
      <c r="AB22" s="358"/>
    </row>
    <row r="23" ht="15.6" spans="1:28">
      <c r="A23" s="358"/>
      <c r="B23" s="445"/>
      <c r="C23" s="446"/>
      <c r="D23" s="450">
        <v>4</v>
      </c>
      <c r="E23" s="451" t="str">
        <f>VLOOKUP(4,数据表!A1:B26,2,0)</f>
        <v>舰装解析4h</v>
      </c>
      <c r="F23" s="451"/>
      <c r="G23" s="452" t="str">
        <f>IF(D23&gt;I14,"是","否")</f>
        <v>否</v>
      </c>
      <c r="H23" s="450">
        <v>17</v>
      </c>
      <c r="I23" s="451" t="str">
        <f>VLOOKUP(17,数据表!A1:B26,2,0)</f>
        <v>研究委托3h</v>
      </c>
      <c r="J23" s="451"/>
      <c r="K23" s="452" t="str">
        <f>IF(H23&gt;I14,"是","否")</f>
        <v>是</v>
      </c>
      <c r="L23" s="514"/>
      <c r="M23" s="450">
        <v>4</v>
      </c>
      <c r="N23" s="451" t="str">
        <f>VLOOKUP(4,数据表!C1:D26,2,0)</f>
        <v>金船定向0.5h</v>
      </c>
      <c r="O23" s="451"/>
      <c r="P23" s="452" t="str">
        <f>IF(M23&gt;N14,"是","否")</f>
        <v>否</v>
      </c>
      <c r="Q23" s="450">
        <v>17</v>
      </c>
      <c r="R23" s="451" t="str">
        <f>VLOOKUP(17,数据表!C1:D26,2,0)</f>
        <v>资金募集2.5h</v>
      </c>
      <c r="S23" s="452" t="str">
        <f>IF(Q23&gt;N14,"是","否")</f>
        <v>是</v>
      </c>
      <c r="T23" s="257"/>
      <c r="U23" s="257"/>
      <c r="V23" s="257"/>
      <c r="W23" s="257"/>
      <c r="X23" s="358"/>
      <c r="Y23" s="358"/>
      <c r="Z23" s="358"/>
      <c r="AA23" s="358"/>
      <c r="AB23" s="358"/>
    </row>
    <row r="24" ht="15.6" spans="1:28">
      <c r="A24" s="358"/>
      <c r="B24" s="445"/>
      <c r="C24" s="446"/>
      <c r="D24" s="450">
        <v>5</v>
      </c>
      <c r="E24" s="451" t="str">
        <f>VLOOKUP(5,数据表!A1:B26,2,0)</f>
        <v>舰装解析1h</v>
      </c>
      <c r="F24" s="451"/>
      <c r="G24" s="452" t="str">
        <f>IF(D24&gt;I14,"是","否")</f>
        <v>否</v>
      </c>
      <c r="H24" s="450">
        <v>18</v>
      </c>
      <c r="I24" s="451" t="str">
        <f>VLOOKUP(18,数据表!A1:B26,2,0)</f>
        <v>彩船定向5h</v>
      </c>
      <c r="J24" s="451"/>
      <c r="K24" s="452" t="str">
        <f>IF(H24&gt;I14,"是","否")</f>
        <v>是</v>
      </c>
      <c r="L24" s="514"/>
      <c r="M24" s="450">
        <v>5</v>
      </c>
      <c r="N24" s="451" t="str">
        <f>VLOOKUP(5,数据表!C1:D26,2,0)</f>
        <v>资金募集4h</v>
      </c>
      <c r="O24" s="451"/>
      <c r="P24" s="452" t="str">
        <f>IF(M24&gt;N14,"是","否")</f>
        <v>否</v>
      </c>
      <c r="Q24" s="450">
        <v>18</v>
      </c>
      <c r="R24" s="451" t="str">
        <f>VLOOKUP(18,数据表!C1:D26,2,0)</f>
        <v>试验品募集2h紫</v>
      </c>
      <c r="S24" s="452" t="str">
        <f>IF(Q24&gt;N14,"是","否")</f>
        <v>是</v>
      </c>
      <c r="T24" s="257"/>
      <c r="U24" s="257"/>
      <c r="V24" s="257"/>
      <c r="W24" s="257"/>
      <c r="X24" s="358"/>
      <c r="Y24" s="358"/>
      <c r="Z24" s="358"/>
      <c r="AA24" s="358"/>
      <c r="AB24" s="358"/>
    </row>
    <row r="25" ht="15.6" spans="1:28">
      <c r="A25" s="358"/>
      <c r="B25" s="445"/>
      <c r="C25" s="446"/>
      <c r="D25" s="450">
        <v>6</v>
      </c>
      <c r="E25" s="451" t="str">
        <f>VLOOKUP(6,数据表!A1:B26,2,0)</f>
        <v>舰装解析2h</v>
      </c>
      <c r="F25" s="451"/>
      <c r="G25" s="452" t="str">
        <f>IF(D25&gt;I14,"是","否")</f>
        <v>否</v>
      </c>
      <c r="H25" s="450">
        <v>19</v>
      </c>
      <c r="I25" s="451" t="str">
        <f>VLOOKUP(19,数据表!A1:B26,2,0)</f>
        <v>金船定向5h</v>
      </c>
      <c r="J25" s="451"/>
      <c r="K25" s="452" t="str">
        <f>IF(H25&gt;I14,"是","否")</f>
        <v>是</v>
      </c>
      <c r="L25" s="514"/>
      <c r="M25" s="450">
        <v>6</v>
      </c>
      <c r="N25" s="451" t="str">
        <f>VLOOKUP(6,数据表!C1:D26,2,0)</f>
        <v>彩船定向8h</v>
      </c>
      <c r="O25" s="451"/>
      <c r="P25" s="452" t="str">
        <f>IF(M25&gt;N14,"是","否")</f>
        <v>否</v>
      </c>
      <c r="Q25" s="450">
        <v>19</v>
      </c>
      <c r="R25" s="451" t="str">
        <f>VLOOKUP(19,数据表!C1:D26,2,0)</f>
        <v>试验品募集2h蓝</v>
      </c>
      <c r="S25" s="452" t="str">
        <f>IF(Q25&gt;N14,"是","否")</f>
        <v>是</v>
      </c>
      <c r="T25" s="257"/>
      <c r="U25" s="257"/>
      <c r="V25" s="257"/>
      <c r="W25" s="257"/>
      <c r="X25" s="358"/>
      <c r="Y25" s="358"/>
      <c r="Z25" s="358"/>
      <c r="AA25" s="358"/>
      <c r="AB25" s="358"/>
    </row>
    <row r="26" ht="15.6" spans="1:28">
      <c r="A26" s="358"/>
      <c r="B26" s="445"/>
      <c r="C26" s="446"/>
      <c r="D26" s="450">
        <v>7</v>
      </c>
      <c r="E26" s="451" t="str">
        <f>VLOOKUP(7,数据表!A1:B26,2,0)</f>
        <v>资金募集1.5h</v>
      </c>
      <c r="F26" s="451"/>
      <c r="G26" s="452" t="str">
        <f>IF(D26&gt;I14,"是","否")</f>
        <v>否</v>
      </c>
      <c r="H26" s="450">
        <v>20</v>
      </c>
      <c r="I26" s="451" t="str">
        <f>VLOOKUP(20,数据表!A1:B26,2,0)</f>
        <v>基础研究6h</v>
      </c>
      <c r="J26" s="451"/>
      <c r="K26" s="452" t="str">
        <f>IF(H26&gt;I14,"是","否")</f>
        <v>是</v>
      </c>
      <c r="L26" s="514"/>
      <c r="M26" s="450">
        <v>7</v>
      </c>
      <c r="N26" s="451" t="str">
        <f>VLOOKUP(7,数据表!C1:D26,2,0)</f>
        <v>金数据收集4h</v>
      </c>
      <c r="O26" s="451"/>
      <c r="P26" s="452" t="str">
        <f>IF(M26&gt;N14,"是","否")</f>
        <v>否</v>
      </c>
      <c r="Q26" s="450">
        <v>20</v>
      </c>
      <c r="R26" s="451" t="str">
        <f>VLOOKUP(20,数据表!C1:D26,2,0)</f>
        <v>资金募集1.5h</v>
      </c>
      <c r="S26" s="452" t="str">
        <f>IF(Q26&gt;N14,"是","否")</f>
        <v>是</v>
      </c>
      <c r="T26" s="257"/>
      <c r="U26" s="257"/>
      <c r="V26" s="257"/>
      <c r="W26" s="257"/>
      <c r="X26" s="358"/>
      <c r="Y26" s="358"/>
      <c r="Z26" s="358"/>
      <c r="AA26" s="358"/>
      <c r="AB26" s="358"/>
    </row>
    <row r="27" ht="15.6" spans="1:28">
      <c r="A27" s="358"/>
      <c r="B27" s="445"/>
      <c r="C27" s="446"/>
      <c r="D27" s="450">
        <v>8</v>
      </c>
      <c r="E27" s="451" t="str">
        <f>VLOOKUP(8,数据表!A1:B26,2,0)</f>
        <v>资金募集4h</v>
      </c>
      <c r="F27" s="451"/>
      <c r="G27" s="452" t="str">
        <f>IF(D27&gt;I14,"是","否")</f>
        <v>否</v>
      </c>
      <c r="H27" s="450">
        <v>21</v>
      </c>
      <c r="I27" s="451" t="str">
        <f>VLOOKUP(21,数据表!A1:B26,2,0)</f>
        <v>彩船定向8h</v>
      </c>
      <c r="J27" s="451"/>
      <c r="K27" s="452" t="str">
        <f>IF(H27&gt;I14,"是","否")</f>
        <v>是</v>
      </c>
      <c r="L27" s="514"/>
      <c r="M27" s="450">
        <v>8</v>
      </c>
      <c r="N27" s="451" t="str">
        <f>VLOOKUP(8,数据表!C1:D26,2,0)</f>
        <v>金船定向8h</v>
      </c>
      <c r="O27" s="451"/>
      <c r="P27" s="452" t="str">
        <f>IF(M27&gt;N14,"是","否")</f>
        <v>否</v>
      </c>
      <c r="Q27" s="450">
        <v>21</v>
      </c>
      <c r="R27" s="451" t="str">
        <f>VLOOKUP(21,数据表!C1:D26,2,0)</f>
        <v>研究委托3h</v>
      </c>
      <c r="S27" s="452" t="str">
        <f>IF(Q27&gt;N14,"是","否")</f>
        <v>是</v>
      </c>
      <c r="T27" s="257"/>
      <c r="U27" s="257"/>
      <c r="V27" s="257"/>
      <c r="W27" s="257"/>
      <c r="X27" s="358"/>
      <c r="Y27" s="358"/>
      <c r="Z27" s="358"/>
      <c r="AA27" s="358"/>
      <c r="AB27" s="358"/>
    </row>
    <row r="28" ht="15.6" spans="1:28">
      <c r="A28" s="358"/>
      <c r="B28" s="445"/>
      <c r="C28" s="446"/>
      <c r="D28" s="450">
        <v>9</v>
      </c>
      <c r="E28" s="451" t="str">
        <f>VLOOKUP(9,数据表!A1:B26,2,0)</f>
        <v>试验品募集2h紫</v>
      </c>
      <c r="F28" s="451"/>
      <c r="G28" s="452" t="str">
        <f>IF(D28&gt;I14,"是","否")</f>
        <v>否</v>
      </c>
      <c r="H28" s="450">
        <v>22</v>
      </c>
      <c r="I28" s="451" t="str">
        <f>VLOOKUP(22,数据表!A1:B26,2,0)</f>
        <v>金船定向8h</v>
      </c>
      <c r="J28" s="451"/>
      <c r="K28" s="452" t="str">
        <f>IF(H28&gt;I14,"是","否")</f>
        <v>是</v>
      </c>
      <c r="L28" s="514"/>
      <c r="M28" s="450">
        <v>9</v>
      </c>
      <c r="N28" s="451" t="str">
        <f>VLOOKUP(9,数据表!C1:D26,2,0)</f>
        <v>舰装解析2h</v>
      </c>
      <c r="O28" s="451"/>
      <c r="P28" s="452" t="str">
        <f>IF(M28&gt;N14,"是","否")</f>
        <v>否</v>
      </c>
      <c r="Q28" s="450">
        <v>22</v>
      </c>
      <c r="R28" s="451" t="str">
        <f>VLOOKUP(22,数据表!C1:D26,2,0)</f>
        <v>心智补全0.5h</v>
      </c>
      <c r="S28" s="452" t="str">
        <f>IF(Q28&gt;N14,"是","否")</f>
        <v>是</v>
      </c>
      <c r="T28" s="257"/>
      <c r="U28" s="257"/>
      <c r="V28" s="257"/>
      <c r="W28" s="257"/>
      <c r="X28" s="358"/>
      <c r="Y28" s="358"/>
      <c r="Z28" s="358"/>
      <c r="AA28" s="358"/>
      <c r="AB28" s="358"/>
    </row>
    <row r="29" ht="17.4" spans="1:20">
      <c r="A29" s="358"/>
      <c r="B29" s="445"/>
      <c r="C29" s="446"/>
      <c r="D29" s="450">
        <v>10</v>
      </c>
      <c r="E29" s="451" t="str">
        <f>VLOOKUP(10,数据表!A1:B26,2,0)</f>
        <v>彩船定向2.5h</v>
      </c>
      <c r="F29" s="451"/>
      <c r="G29" s="452" t="str">
        <f>IF(D29&gt;I14,"是","否")</f>
        <v>否</v>
      </c>
      <c r="H29" s="450">
        <v>23</v>
      </c>
      <c r="I29" s="451" t="str">
        <f>VLOOKUP(23,数据表!A1:B26,2,0)</f>
        <v>魔方解析2h</v>
      </c>
      <c r="J29" s="451"/>
      <c r="K29" s="452" t="str">
        <f>IF(H29&gt;I14,"是","否")</f>
        <v>是</v>
      </c>
      <c r="L29" s="514"/>
      <c r="M29" s="450">
        <v>10</v>
      </c>
      <c r="N29" s="451" t="str">
        <f>VLOOKUP(10,数据表!C1:D26,2,0)</f>
        <v>彩船定向5h</v>
      </c>
      <c r="O29" s="451"/>
      <c r="P29" s="452" t="str">
        <f>IF(M29&gt;N14,"是","否")</f>
        <v>否</v>
      </c>
      <c r="Q29" s="450">
        <v>23</v>
      </c>
      <c r="R29" s="451" t="str">
        <f>VLOOKUP(23,数据表!C1:D26,2,0)</f>
        <v>基础研究12h</v>
      </c>
      <c r="S29" s="452" t="str">
        <f>IF(Q29&gt;N14,"是","否")</f>
        <v>是</v>
      </c>
      <c r="T29" s="549"/>
    </row>
    <row r="30" ht="17.4" spans="1:20">
      <c r="A30" s="358"/>
      <c r="B30" s="445"/>
      <c r="C30" s="446"/>
      <c r="D30" s="450">
        <v>11</v>
      </c>
      <c r="E30" s="451" t="str">
        <f>VLOOKUP(11,数据表!A1:B26,2,0)</f>
        <v>心智补全0.5h</v>
      </c>
      <c r="F30" s="451"/>
      <c r="G30" s="452" t="str">
        <f>IF(D30&gt;I14,"是","否")</f>
        <v>否</v>
      </c>
      <c r="H30" s="450">
        <v>24</v>
      </c>
      <c r="I30" s="451" t="str">
        <f>VLOOKUP(24,数据表!A1:B26,2,0)</f>
        <v>基础研究8h</v>
      </c>
      <c r="J30" s="451"/>
      <c r="K30" s="452" t="str">
        <f>IF(H30&gt;I14,"是","否")</f>
        <v>是</v>
      </c>
      <c r="L30" s="514"/>
      <c r="M30" s="450">
        <v>11</v>
      </c>
      <c r="N30" s="451" t="str">
        <f>VLOOKUP(11,数据表!C1:D26,2,0)</f>
        <v>金船定向5h</v>
      </c>
      <c r="O30" s="451"/>
      <c r="P30" s="452" t="str">
        <f>IF(M30&gt;N14,"是","否")</f>
        <v>否</v>
      </c>
      <c r="Q30" s="450">
        <v>24</v>
      </c>
      <c r="R30" s="451" t="str">
        <f>VLOOKUP(24,数据表!C1:D26,2,0)</f>
        <v>魔方解析1h</v>
      </c>
      <c r="S30" s="452" t="str">
        <f>IF(Q30&gt;N14,"是","否")</f>
        <v>是</v>
      </c>
      <c r="T30" s="549"/>
    </row>
    <row r="31" ht="15.6" spans="1:20">
      <c r="A31" s="358"/>
      <c r="B31" s="445"/>
      <c r="C31" s="446"/>
      <c r="D31" s="450">
        <v>12</v>
      </c>
      <c r="E31" s="451" t="str">
        <f>VLOOKUP(12,数据表!A1:B26,2,0)</f>
        <v>试验品募集2h蓝</v>
      </c>
      <c r="F31" s="451"/>
      <c r="G31" s="452" t="str">
        <f>IF(D31&gt;I14,"是","否")</f>
        <v>否</v>
      </c>
      <c r="H31" s="450">
        <v>25</v>
      </c>
      <c r="I31" s="451" t="str">
        <f>VLOOKUP(25,数据表!A1:B26,2,0)</f>
        <v>魔方解析4h</v>
      </c>
      <c r="J31" s="451"/>
      <c r="K31" s="452" t="str">
        <f>IF(H31&gt;I14,"是","否")</f>
        <v>是</v>
      </c>
      <c r="L31" s="514"/>
      <c r="M31" s="450">
        <v>12</v>
      </c>
      <c r="N31" s="451" t="str">
        <f>VLOOKUP(12,数据表!C1:D26,2,0)</f>
        <v>基础研究6h</v>
      </c>
      <c r="O31" s="451"/>
      <c r="P31" s="452" t="str">
        <f>IF(M31&gt;N14,"是","否")</f>
        <v>否</v>
      </c>
      <c r="Q31" s="450">
        <v>25</v>
      </c>
      <c r="R31" s="451" t="str">
        <f>VLOOKUP(25,数据表!C1:D26,2,0)</f>
        <v>魔方解析2h</v>
      </c>
      <c r="S31" s="452" t="str">
        <f>IF(Q31&gt;N14,"是","否")</f>
        <v>是</v>
      </c>
      <c r="T31" s="257"/>
    </row>
    <row r="32" ht="16.35" spans="1:20">
      <c r="A32" s="358"/>
      <c r="B32" s="453"/>
      <c r="C32" s="454"/>
      <c r="D32" s="455">
        <v>13</v>
      </c>
      <c r="E32" s="456" t="str">
        <f>VLOOKUP(13,数据表!A1:B26,2,0)</f>
        <v>金船定向2.5h</v>
      </c>
      <c r="F32" s="456"/>
      <c r="G32" s="457" t="str">
        <f>IF(D32&gt;I14,"是","否")</f>
        <v>否</v>
      </c>
      <c r="H32" s="455">
        <v>26</v>
      </c>
      <c r="I32" s="456" t="str">
        <f>VLOOKUP(26,数据表!A1:B26,2,0)</f>
        <v>基础研究12h</v>
      </c>
      <c r="J32" s="456"/>
      <c r="K32" s="457" t="str">
        <f>IF(H32&gt;I14,"是","否")</f>
        <v>是</v>
      </c>
      <c r="L32" s="515"/>
      <c r="M32" s="455">
        <v>13</v>
      </c>
      <c r="N32" s="456" t="str">
        <f>VLOOKUP(13,数据表!C1:D26,2,0)</f>
        <v>彩船定向2.5h</v>
      </c>
      <c r="O32" s="516"/>
      <c r="P32" s="517" t="str">
        <f>IF(M32&gt;N14,"是","否")</f>
        <v>否</v>
      </c>
      <c r="Q32" s="550">
        <v>26</v>
      </c>
      <c r="R32" s="456" t="str">
        <f>VLOOKUP(26,数据表!C1:D26,2,0)</f>
        <v>魔方解析4h</v>
      </c>
      <c r="S32" s="457" t="str">
        <f>IF(Q32&gt;N14,"是","否")</f>
        <v>是</v>
      </c>
      <c r="T32" s="548"/>
    </row>
    <row r="33" ht="23" customHeight="1" spans="1:29">
      <c r="A33" s="358"/>
      <c r="B33" s="458" t="s">
        <v>105</v>
      </c>
      <c r="C33" s="459" t="s">
        <v>106</v>
      </c>
      <c r="D33" s="460"/>
      <c r="E33" s="460"/>
      <c r="F33" s="460"/>
      <c r="G33" s="460"/>
      <c r="H33" s="460"/>
      <c r="I33" s="460"/>
      <c r="J33" s="459" t="s">
        <v>107</v>
      </c>
      <c r="K33" s="518"/>
      <c r="L33" s="518"/>
      <c r="M33" s="518"/>
      <c r="N33" s="518"/>
      <c r="O33" s="519"/>
      <c r="P33" s="519"/>
      <c r="Q33" s="551"/>
      <c r="R33" s="552"/>
      <c r="S33" s="552"/>
      <c r="T33" s="552"/>
      <c r="U33" s="552"/>
      <c r="V33" s="358"/>
      <c r="W33" s="358"/>
      <c r="X33" s="358"/>
      <c r="Y33" s="358"/>
      <c r="Z33" s="358"/>
      <c r="AA33" s="358"/>
      <c r="AB33" s="358"/>
      <c r="AC33" s="358"/>
    </row>
    <row r="34" ht="15.6" spans="1:20">
      <c r="A34" s="369"/>
      <c r="B34" s="461"/>
      <c r="C34" s="462"/>
      <c r="D34" s="369"/>
      <c r="E34" s="369"/>
      <c r="F34" s="369"/>
      <c r="G34" s="369"/>
      <c r="H34" s="369"/>
      <c r="I34" s="369"/>
      <c r="J34" s="462"/>
      <c r="K34" s="369"/>
      <c r="L34" s="369"/>
      <c r="M34" s="369"/>
      <c r="N34" s="369"/>
      <c r="O34" s="369"/>
      <c r="P34" s="369"/>
      <c r="Q34" s="521"/>
      <c r="R34" s="358"/>
      <c r="S34" s="358"/>
      <c r="T34" s="358"/>
    </row>
    <row r="35" ht="15.6" spans="1:20">
      <c r="A35" s="369"/>
      <c r="B35" s="461"/>
      <c r="C35" s="462"/>
      <c r="D35" s="369"/>
      <c r="E35" s="369"/>
      <c r="F35" s="369"/>
      <c r="G35" s="369"/>
      <c r="H35" s="369"/>
      <c r="I35" s="369"/>
      <c r="J35" s="462"/>
      <c r="K35" s="369"/>
      <c r="L35" s="369"/>
      <c r="M35" s="369"/>
      <c r="N35" s="369"/>
      <c r="O35" s="369"/>
      <c r="P35" s="369"/>
      <c r="Q35" s="521"/>
      <c r="R35" s="358"/>
      <c r="S35" s="358"/>
      <c r="T35" s="358"/>
    </row>
    <row r="36" ht="15.6" spans="1:20">
      <c r="A36" s="369"/>
      <c r="B36" s="461"/>
      <c r="C36" s="462"/>
      <c r="D36" s="369"/>
      <c r="E36" s="369"/>
      <c r="F36" s="369"/>
      <c r="G36" s="369"/>
      <c r="H36" s="369"/>
      <c r="I36" s="369"/>
      <c r="J36" s="462"/>
      <c r="K36" s="369"/>
      <c r="L36" s="369"/>
      <c r="M36" s="369"/>
      <c r="N36" s="369"/>
      <c r="O36" s="369"/>
      <c r="P36" s="369"/>
      <c r="Q36" s="521"/>
      <c r="R36" s="358"/>
      <c r="S36" s="358"/>
      <c r="T36" s="358"/>
    </row>
    <row r="37" ht="15.6" spans="1:20">
      <c r="A37" s="369"/>
      <c r="B37" s="461"/>
      <c r="C37" s="462"/>
      <c r="D37" s="369"/>
      <c r="E37" s="369"/>
      <c r="F37" s="369"/>
      <c r="G37" s="369"/>
      <c r="H37" s="369"/>
      <c r="I37" s="369"/>
      <c r="J37" s="462"/>
      <c r="K37" s="369"/>
      <c r="L37" s="369"/>
      <c r="M37" s="369"/>
      <c r="N37" s="369"/>
      <c r="O37" s="369"/>
      <c r="P37" s="369"/>
      <c r="Q37" s="521"/>
      <c r="R37" s="358"/>
      <c r="S37" s="358"/>
      <c r="T37" s="358"/>
    </row>
    <row r="38" ht="15.6" spans="1:20">
      <c r="A38" s="369"/>
      <c r="B38" s="461"/>
      <c r="C38" s="462"/>
      <c r="D38" s="369"/>
      <c r="E38" s="369"/>
      <c r="F38" s="369"/>
      <c r="G38" s="369"/>
      <c r="H38" s="369"/>
      <c r="I38" s="369"/>
      <c r="J38" s="462"/>
      <c r="K38" s="369"/>
      <c r="L38" s="369"/>
      <c r="M38" s="369"/>
      <c r="N38" s="369"/>
      <c r="O38" s="369"/>
      <c r="P38" s="369"/>
      <c r="Q38" s="521"/>
      <c r="R38" s="358"/>
      <c r="S38" s="358"/>
      <c r="T38" s="358"/>
    </row>
    <row r="39" ht="15.6" spans="1:20">
      <c r="A39" s="369"/>
      <c r="B39" s="461"/>
      <c r="C39" s="462"/>
      <c r="D39" s="369"/>
      <c r="E39" s="369"/>
      <c r="F39" s="369"/>
      <c r="G39" s="369"/>
      <c r="H39" s="369"/>
      <c r="I39" s="369"/>
      <c r="J39" s="462"/>
      <c r="K39" s="369"/>
      <c r="L39" s="369"/>
      <c r="M39" s="369"/>
      <c r="N39" s="369"/>
      <c r="O39" s="369"/>
      <c r="P39" s="369"/>
      <c r="Q39" s="521"/>
      <c r="R39" s="358"/>
      <c r="S39" s="358"/>
      <c r="T39" s="358"/>
    </row>
    <row r="40" ht="15.6" spans="1:20">
      <c r="A40" s="369"/>
      <c r="B40" s="461"/>
      <c r="C40" s="462"/>
      <c r="D40" s="369"/>
      <c r="E40" s="369"/>
      <c r="F40" s="369"/>
      <c r="G40" s="369"/>
      <c r="H40" s="369"/>
      <c r="I40" s="369"/>
      <c r="J40" s="462"/>
      <c r="K40" s="369"/>
      <c r="L40" s="369"/>
      <c r="M40" s="369"/>
      <c r="N40" s="369"/>
      <c r="O40" s="369"/>
      <c r="P40" s="369"/>
      <c r="Q40" s="521"/>
      <c r="R40" s="358"/>
      <c r="S40" s="358"/>
      <c r="T40" s="358"/>
    </row>
    <row r="41" ht="15.6" spans="1:20">
      <c r="A41" s="369"/>
      <c r="B41" s="461"/>
      <c r="C41" s="462"/>
      <c r="D41" s="369"/>
      <c r="E41" s="369"/>
      <c r="F41" s="369"/>
      <c r="G41" s="369"/>
      <c r="H41" s="369"/>
      <c r="I41" s="369"/>
      <c r="J41" s="462"/>
      <c r="K41" s="369"/>
      <c r="L41" s="369"/>
      <c r="M41" s="369"/>
      <c r="N41" s="369"/>
      <c r="O41" s="369"/>
      <c r="P41" s="369"/>
      <c r="Q41" s="521"/>
      <c r="R41" s="358"/>
      <c r="S41" s="358"/>
      <c r="T41" s="358"/>
    </row>
    <row r="42" ht="15.6" spans="1:20">
      <c r="A42" s="369"/>
      <c r="B42" s="461"/>
      <c r="C42" s="462"/>
      <c r="D42" s="369"/>
      <c r="E42" s="369"/>
      <c r="F42" s="369"/>
      <c r="G42" s="369"/>
      <c r="H42" s="369"/>
      <c r="I42" s="369"/>
      <c r="J42" s="462"/>
      <c r="K42" s="369"/>
      <c r="L42" s="369"/>
      <c r="M42" s="369"/>
      <c r="N42" s="369"/>
      <c r="O42" s="369"/>
      <c r="P42" s="369"/>
      <c r="Q42" s="521"/>
      <c r="R42" s="358"/>
      <c r="S42" s="358"/>
      <c r="T42" s="358"/>
    </row>
    <row r="43" ht="15.6" spans="1:20">
      <c r="A43" s="369"/>
      <c r="B43" s="461"/>
      <c r="C43" s="462"/>
      <c r="D43" s="369"/>
      <c r="E43" s="369"/>
      <c r="F43" s="369"/>
      <c r="G43" s="369"/>
      <c r="H43" s="369"/>
      <c r="I43" s="369"/>
      <c r="J43" s="462"/>
      <c r="K43" s="369"/>
      <c r="L43" s="369"/>
      <c r="M43" s="369"/>
      <c r="N43" s="369"/>
      <c r="O43" s="369"/>
      <c r="P43" s="369"/>
      <c r="Q43" s="521"/>
      <c r="R43" s="358"/>
      <c r="S43" s="358"/>
      <c r="T43" s="358"/>
    </row>
    <row r="44" ht="15.6" spans="1:20">
      <c r="A44" s="369"/>
      <c r="B44" s="461"/>
      <c r="C44" s="462"/>
      <c r="D44" s="369"/>
      <c r="E44" s="369"/>
      <c r="F44" s="369"/>
      <c r="G44" s="369"/>
      <c r="H44" s="369"/>
      <c r="I44" s="369"/>
      <c r="J44" s="462"/>
      <c r="K44" s="369"/>
      <c r="L44" s="369"/>
      <c r="M44" s="369"/>
      <c r="N44" s="369"/>
      <c r="O44" s="369"/>
      <c r="P44" s="369"/>
      <c r="Q44" s="521"/>
      <c r="R44" s="358"/>
      <c r="S44" s="358"/>
      <c r="T44" s="358"/>
    </row>
    <row r="45" ht="15.6" spans="1:20">
      <c r="A45" s="369"/>
      <c r="B45" s="461"/>
      <c r="C45" s="462"/>
      <c r="D45" s="369"/>
      <c r="E45" s="369"/>
      <c r="F45" s="369"/>
      <c r="G45" s="369"/>
      <c r="H45" s="369"/>
      <c r="I45" s="369"/>
      <c r="J45" s="462"/>
      <c r="K45" s="369"/>
      <c r="L45" s="369"/>
      <c r="M45" s="369"/>
      <c r="N45" s="369"/>
      <c r="O45" s="369"/>
      <c r="P45" s="369"/>
      <c r="Q45" s="521"/>
      <c r="R45" s="358"/>
      <c r="S45" s="358"/>
      <c r="T45" s="358"/>
    </row>
    <row r="46" ht="15.6" spans="1:20">
      <c r="A46" s="369"/>
      <c r="B46" s="461"/>
      <c r="C46" s="462"/>
      <c r="D46" s="369"/>
      <c r="E46" s="369"/>
      <c r="F46" s="369"/>
      <c r="G46" s="369"/>
      <c r="H46" s="369"/>
      <c r="I46" s="369"/>
      <c r="J46" s="462"/>
      <c r="K46" s="369"/>
      <c r="L46" s="369"/>
      <c r="M46" s="369"/>
      <c r="N46" s="369"/>
      <c r="O46" s="369"/>
      <c r="P46" s="369"/>
      <c r="Q46" s="521"/>
      <c r="R46" s="358"/>
      <c r="S46" s="358"/>
      <c r="T46" s="358"/>
    </row>
    <row r="47" ht="21" customHeight="1" spans="1:20">
      <c r="A47" s="369"/>
      <c r="B47" s="461"/>
      <c r="C47" s="462"/>
      <c r="D47" s="369"/>
      <c r="E47" s="369"/>
      <c r="F47" s="369"/>
      <c r="G47" s="369"/>
      <c r="H47" s="369"/>
      <c r="I47" s="369"/>
      <c r="J47" s="462"/>
      <c r="K47" s="369"/>
      <c r="L47" s="369"/>
      <c r="M47" s="369"/>
      <c r="N47" s="369"/>
      <c r="O47" s="369"/>
      <c r="P47" s="369"/>
      <c r="Q47" s="521"/>
      <c r="R47" s="358"/>
      <c r="S47" s="358"/>
      <c r="T47" s="358"/>
    </row>
    <row r="48" ht="16.35" spans="1:29">
      <c r="A48" s="358"/>
      <c r="B48" s="461"/>
      <c r="C48" s="463"/>
      <c r="D48" s="464"/>
      <c r="E48" s="464"/>
      <c r="F48" s="464"/>
      <c r="G48" s="464"/>
      <c r="H48" s="464"/>
      <c r="I48" s="464"/>
      <c r="J48" s="463"/>
      <c r="K48" s="464"/>
      <c r="L48" s="464"/>
      <c r="M48" s="464"/>
      <c r="N48" s="464"/>
      <c r="O48" s="464"/>
      <c r="P48" s="464"/>
      <c r="Q48" s="553"/>
      <c r="R48" s="358"/>
      <c r="S48" s="358"/>
      <c r="T48" s="358"/>
      <c r="U48" s="358"/>
      <c r="V48" s="358"/>
      <c r="W48" s="358"/>
      <c r="X48" s="358"/>
      <c r="Y48" s="358"/>
      <c r="Z48" s="358"/>
      <c r="AA48" s="358"/>
      <c r="AB48" s="358"/>
      <c r="AC48" s="358"/>
    </row>
    <row r="49" ht="17.4" spans="1:29">
      <c r="A49" s="358"/>
      <c r="B49" s="461"/>
      <c r="C49" s="324" t="s">
        <v>108</v>
      </c>
      <c r="D49" s="318"/>
      <c r="E49" s="318"/>
      <c r="F49" s="318"/>
      <c r="G49" s="318"/>
      <c r="H49" s="318"/>
      <c r="I49" s="259"/>
      <c r="J49" s="324" t="s">
        <v>109</v>
      </c>
      <c r="K49" s="325"/>
      <c r="L49" s="325"/>
      <c r="M49" s="325"/>
      <c r="N49" s="325"/>
      <c r="O49" s="325"/>
      <c r="P49" s="325"/>
      <c r="Q49" s="554"/>
      <c r="R49" s="358"/>
      <c r="S49" s="358"/>
      <c r="T49" s="358"/>
      <c r="U49" s="358"/>
      <c r="V49" s="358"/>
      <c r="W49" s="358"/>
      <c r="X49" s="358"/>
      <c r="Y49" s="358"/>
      <c r="Z49" s="358"/>
      <c r="AA49" s="358"/>
      <c r="AB49" s="358"/>
      <c r="AC49" s="358"/>
    </row>
    <row r="50" ht="15.6" spans="1:29">
      <c r="A50" s="358"/>
      <c r="B50" s="461"/>
      <c r="C50" s="465"/>
      <c r="D50" s="257"/>
      <c r="E50" s="257"/>
      <c r="F50" s="257"/>
      <c r="G50" s="257"/>
      <c r="H50" s="257"/>
      <c r="I50" s="520"/>
      <c r="J50" s="465"/>
      <c r="K50" s="257"/>
      <c r="L50" s="257"/>
      <c r="M50" s="257"/>
      <c r="N50" s="257"/>
      <c r="O50" s="257"/>
      <c r="P50" s="257"/>
      <c r="Q50" s="520"/>
      <c r="R50" s="358"/>
      <c r="S50" s="358"/>
      <c r="T50" s="358"/>
      <c r="U50" s="358"/>
      <c r="V50" s="358"/>
      <c r="W50" s="358"/>
      <c r="X50" s="358"/>
      <c r="Y50" s="358"/>
      <c r="Z50" s="358"/>
      <c r="AA50" s="358"/>
      <c r="AB50" s="358"/>
      <c r="AC50" s="358"/>
    </row>
    <row r="51" ht="15.6" spans="1:29">
      <c r="A51" s="358"/>
      <c r="B51" s="461"/>
      <c r="C51" s="465"/>
      <c r="D51" s="257"/>
      <c r="E51" s="257"/>
      <c r="F51" s="257"/>
      <c r="G51" s="257"/>
      <c r="H51" s="257"/>
      <c r="I51" s="520"/>
      <c r="J51" s="465"/>
      <c r="K51" s="257"/>
      <c r="L51" s="257"/>
      <c r="M51" s="257"/>
      <c r="N51" s="257"/>
      <c r="O51" s="257"/>
      <c r="P51" s="257"/>
      <c r="Q51" s="520"/>
      <c r="R51" s="358"/>
      <c r="S51" s="358"/>
      <c r="T51" s="358"/>
      <c r="U51" s="358"/>
      <c r="V51" s="358"/>
      <c r="W51" s="358"/>
      <c r="X51" s="358"/>
      <c r="Y51" s="358"/>
      <c r="Z51" s="358"/>
      <c r="AA51" s="358"/>
      <c r="AB51" s="358"/>
      <c r="AC51" s="358"/>
    </row>
    <row r="52" ht="15.6" spans="1:29">
      <c r="A52" s="358"/>
      <c r="B52" s="461"/>
      <c r="C52" s="465"/>
      <c r="D52" s="257"/>
      <c r="E52" s="257"/>
      <c r="F52" s="257"/>
      <c r="G52" s="257"/>
      <c r="H52" s="257"/>
      <c r="I52" s="520"/>
      <c r="J52" s="465"/>
      <c r="K52" s="257"/>
      <c r="L52" s="257"/>
      <c r="M52" s="257"/>
      <c r="N52" s="257"/>
      <c r="O52" s="257"/>
      <c r="P52" s="257"/>
      <c r="Q52" s="520"/>
      <c r="R52" s="358"/>
      <c r="S52" s="358"/>
      <c r="T52" s="358"/>
      <c r="U52" s="358"/>
      <c r="V52" s="358"/>
      <c r="W52" s="358"/>
      <c r="X52" s="358"/>
      <c r="Y52" s="358"/>
      <c r="Z52" s="358"/>
      <c r="AA52" s="358"/>
      <c r="AB52" s="358"/>
      <c r="AC52" s="358"/>
    </row>
    <row r="53" ht="15.6" spans="1:29">
      <c r="A53" s="358"/>
      <c r="B53" s="461"/>
      <c r="C53" s="465"/>
      <c r="D53" s="257"/>
      <c r="E53" s="358"/>
      <c r="F53" s="358"/>
      <c r="G53" s="257"/>
      <c r="H53" s="257"/>
      <c r="I53" s="520"/>
      <c r="J53" s="465"/>
      <c r="K53" s="257"/>
      <c r="L53" s="257"/>
      <c r="M53" s="257"/>
      <c r="N53" s="257"/>
      <c r="O53" s="257"/>
      <c r="P53" s="257"/>
      <c r="Q53" s="520"/>
      <c r="R53" s="358"/>
      <c r="S53" s="358"/>
      <c r="T53" s="358"/>
      <c r="U53" s="358"/>
      <c r="V53" s="358"/>
      <c r="W53" s="358"/>
      <c r="X53" s="358"/>
      <c r="Y53" s="358"/>
      <c r="Z53" s="358"/>
      <c r="AA53" s="358"/>
      <c r="AB53" s="358"/>
      <c r="AC53" s="358"/>
    </row>
    <row r="54" ht="15.6" spans="1:29">
      <c r="A54" s="358"/>
      <c r="B54" s="461"/>
      <c r="C54" s="465"/>
      <c r="D54" s="466"/>
      <c r="E54" s="358"/>
      <c r="F54" s="358"/>
      <c r="G54" s="358"/>
      <c r="H54" s="358"/>
      <c r="I54" s="521"/>
      <c r="J54" s="465"/>
      <c r="K54" s="257"/>
      <c r="L54" s="257"/>
      <c r="M54" s="257"/>
      <c r="N54" s="257"/>
      <c r="O54" s="257"/>
      <c r="P54" s="257"/>
      <c r="Q54" s="520"/>
      <c r="R54" s="358"/>
      <c r="S54" s="358"/>
      <c r="T54" s="358"/>
      <c r="U54" s="358"/>
      <c r="V54" s="358"/>
      <c r="W54" s="358"/>
      <c r="X54" s="358"/>
      <c r="Y54" s="358"/>
      <c r="Z54" s="358"/>
      <c r="AA54" s="358"/>
      <c r="AB54" s="358"/>
      <c r="AC54" s="358"/>
    </row>
    <row r="55" ht="15.6" spans="1:29">
      <c r="A55" s="358"/>
      <c r="B55" s="461"/>
      <c r="C55" s="465"/>
      <c r="D55" s="466"/>
      <c r="E55" s="358"/>
      <c r="F55" s="358"/>
      <c r="G55" s="358"/>
      <c r="H55" s="358"/>
      <c r="I55" s="521"/>
      <c r="J55" s="465"/>
      <c r="K55" s="257"/>
      <c r="L55" s="257"/>
      <c r="M55" s="257"/>
      <c r="N55" s="257"/>
      <c r="O55" s="257"/>
      <c r="P55" s="257"/>
      <c r="Q55" s="520"/>
      <c r="R55" s="358"/>
      <c r="S55" s="358"/>
      <c r="T55" s="358"/>
      <c r="U55" s="358"/>
      <c r="V55" s="358"/>
      <c r="W55" s="358"/>
      <c r="X55" s="358"/>
      <c r="Y55" s="358"/>
      <c r="Z55" s="358"/>
      <c r="AA55" s="358"/>
      <c r="AB55" s="358"/>
      <c r="AC55" s="358"/>
    </row>
    <row r="56" ht="15.6" spans="1:29">
      <c r="A56" s="358"/>
      <c r="B56" s="461"/>
      <c r="C56" s="465"/>
      <c r="D56" s="257"/>
      <c r="E56" s="358"/>
      <c r="F56" s="358"/>
      <c r="G56" s="358"/>
      <c r="H56" s="358"/>
      <c r="I56" s="521"/>
      <c r="J56" s="465"/>
      <c r="K56" s="257"/>
      <c r="L56" s="257"/>
      <c r="M56" s="257"/>
      <c r="N56" s="257"/>
      <c r="O56" s="257"/>
      <c r="P56" s="257"/>
      <c r="Q56" s="520"/>
      <c r="R56" s="358"/>
      <c r="S56" s="358"/>
      <c r="T56" s="358"/>
      <c r="U56" s="358"/>
      <c r="V56" s="358"/>
      <c r="W56" s="358"/>
      <c r="X56" s="358"/>
      <c r="Y56" s="358"/>
      <c r="Z56" s="358"/>
      <c r="AA56" s="358"/>
      <c r="AB56" s="358"/>
      <c r="AC56" s="358"/>
    </row>
    <row r="57" ht="15.6" spans="1:29">
      <c r="A57" s="358"/>
      <c r="B57" s="461"/>
      <c r="C57" s="465"/>
      <c r="D57" s="257"/>
      <c r="E57" s="358"/>
      <c r="F57" s="358"/>
      <c r="G57" s="358"/>
      <c r="H57" s="358"/>
      <c r="I57" s="521"/>
      <c r="J57" s="465"/>
      <c r="K57" s="257"/>
      <c r="L57" s="257"/>
      <c r="M57" s="257"/>
      <c r="N57" s="257"/>
      <c r="O57" s="257"/>
      <c r="P57" s="257"/>
      <c r="Q57" s="520"/>
      <c r="R57" s="358"/>
      <c r="S57" s="358"/>
      <c r="T57" s="358"/>
      <c r="U57" s="358"/>
      <c r="V57" s="358"/>
      <c r="W57" s="358"/>
      <c r="X57" s="358"/>
      <c r="Y57" s="358"/>
      <c r="Z57" s="358"/>
      <c r="AA57" s="358"/>
      <c r="AB57" s="358"/>
      <c r="AC57" s="358"/>
    </row>
    <row r="58" ht="15.6" spans="1:29">
      <c r="A58" s="358"/>
      <c r="B58" s="461"/>
      <c r="C58" s="465"/>
      <c r="D58" s="257"/>
      <c r="E58" s="358"/>
      <c r="F58" s="358"/>
      <c r="G58" s="358"/>
      <c r="H58" s="358"/>
      <c r="I58" s="521"/>
      <c r="J58" s="465"/>
      <c r="K58" s="257"/>
      <c r="L58" s="257"/>
      <c r="M58" s="257"/>
      <c r="N58" s="257"/>
      <c r="O58" s="257"/>
      <c r="P58" s="257"/>
      <c r="Q58" s="520"/>
      <c r="R58" s="358"/>
      <c r="S58" s="358"/>
      <c r="T58" s="358"/>
      <c r="U58" s="358"/>
      <c r="V58" s="358"/>
      <c r="W58" s="358"/>
      <c r="X58" s="358"/>
      <c r="Y58" s="358"/>
      <c r="Z58" s="358"/>
      <c r="AA58" s="358"/>
      <c r="AB58" s="358"/>
      <c r="AC58" s="358"/>
    </row>
    <row r="59" ht="15.6" spans="1:29">
      <c r="A59" s="358"/>
      <c r="B59" s="461"/>
      <c r="C59" s="465"/>
      <c r="D59" s="257"/>
      <c r="E59" s="358"/>
      <c r="F59" s="358"/>
      <c r="G59" s="358"/>
      <c r="H59" s="358"/>
      <c r="I59" s="521"/>
      <c r="J59" s="465"/>
      <c r="K59" s="257"/>
      <c r="L59" s="257"/>
      <c r="M59" s="257"/>
      <c r="N59" s="257"/>
      <c r="O59" s="257"/>
      <c r="P59" s="257"/>
      <c r="Q59" s="520"/>
      <c r="R59" s="358"/>
      <c r="S59" s="358"/>
      <c r="T59" s="358"/>
      <c r="U59" s="358"/>
      <c r="V59" s="358"/>
      <c r="W59" s="358"/>
      <c r="X59" s="358"/>
      <c r="Y59" s="358"/>
      <c r="Z59" s="358"/>
      <c r="AA59" s="358"/>
      <c r="AB59" s="358"/>
      <c r="AC59" s="358"/>
    </row>
    <row r="60" ht="15.6" spans="1:29">
      <c r="A60" s="358"/>
      <c r="B60" s="461"/>
      <c r="C60" s="465"/>
      <c r="D60" s="257"/>
      <c r="E60" s="358"/>
      <c r="F60" s="358"/>
      <c r="G60" s="358"/>
      <c r="H60" s="358"/>
      <c r="I60" s="521"/>
      <c r="J60" s="465"/>
      <c r="K60" s="257"/>
      <c r="L60" s="257"/>
      <c r="M60" s="257"/>
      <c r="N60" s="257"/>
      <c r="O60" s="257"/>
      <c r="P60" s="257"/>
      <c r="Q60" s="520"/>
      <c r="R60" s="358"/>
      <c r="S60" s="358"/>
      <c r="T60" s="358"/>
      <c r="U60" s="358"/>
      <c r="V60" s="358"/>
      <c r="W60" s="358"/>
      <c r="X60" s="358"/>
      <c r="Y60" s="358"/>
      <c r="Z60" s="358"/>
      <c r="AA60" s="358"/>
      <c r="AB60" s="358"/>
      <c r="AC60" s="358"/>
    </row>
    <row r="61" ht="15.6" spans="1:29">
      <c r="A61" s="358"/>
      <c r="B61" s="461"/>
      <c r="C61" s="465"/>
      <c r="D61" s="257"/>
      <c r="E61" s="358"/>
      <c r="F61" s="358"/>
      <c r="G61" s="358"/>
      <c r="H61" s="358"/>
      <c r="I61" s="521"/>
      <c r="J61" s="465"/>
      <c r="K61" s="257"/>
      <c r="L61" s="257"/>
      <c r="M61" s="257"/>
      <c r="N61" s="257"/>
      <c r="O61" s="257"/>
      <c r="P61" s="257"/>
      <c r="Q61" s="520"/>
      <c r="R61" s="358"/>
      <c r="S61" s="358"/>
      <c r="T61" s="358"/>
      <c r="U61" s="358"/>
      <c r="V61" s="358"/>
      <c r="W61" s="358"/>
      <c r="X61" s="358"/>
      <c r="Y61" s="358"/>
      <c r="Z61" s="358"/>
      <c r="AA61" s="358"/>
      <c r="AB61" s="358"/>
      <c r="AC61" s="358"/>
    </row>
    <row r="62" ht="15.6" spans="1:29">
      <c r="A62" s="358"/>
      <c r="B62" s="461"/>
      <c r="C62" s="465"/>
      <c r="D62" s="257"/>
      <c r="E62" s="358"/>
      <c r="F62" s="358"/>
      <c r="G62" s="358"/>
      <c r="H62" s="358"/>
      <c r="I62" s="521"/>
      <c r="J62" s="465"/>
      <c r="K62" s="257"/>
      <c r="L62" s="257"/>
      <c r="M62" s="257"/>
      <c r="N62" s="257"/>
      <c r="O62" s="257"/>
      <c r="P62" s="257"/>
      <c r="Q62" s="520"/>
      <c r="R62" s="358"/>
      <c r="S62" s="358"/>
      <c r="T62" s="358"/>
      <c r="U62" s="358"/>
      <c r="V62" s="358"/>
      <c r="W62" s="358"/>
      <c r="X62" s="358"/>
      <c r="Y62" s="358"/>
      <c r="Z62" s="358"/>
      <c r="AA62" s="358"/>
      <c r="AB62" s="358"/>
      <c r="AC62" s="358"/>
    </row>
    <row r="63" ht="15.6" spans="1:29">
      <c r="A63" s="358"/>
      <c r="B63" s="461"/>
      <c r="C63" s="465"/>
      <c r="D63" s="257"/>
      <c r="E63" s="358"/>
      <c r="F63" s="358"/>
      <c r="G63" s="358"/>
      <c r="H63" s="358"/>
      <c r="I63" s="521"/>
      <c r="J63" s="465"/>
      <c r="K63" s="257"/>
      <c r="L63" s="257"/>
      <c r="M63" s="257"/>
      <c r="N63" s="257"/>
      <c r="O63" s="257"/>
      <c r="P63" s="257"/>
      <c r="Q63" s="520"/>
      <c r="R63" s="358"/>
      <c r="S63" s="358"/>
      <c r="T63" s="358"/>
      <c r="U63" s="358"/>
      <c r="V63" s="358"/>
      <c r="W63" s="358"/>
      <c r="X63" s="358"/>
      <c r="Y63" s="358"/>
      <c r="Z63" s="358"/>
      <c r="AA63" s="358"/>
      <c r="AB63" s="358"/>
      <c r="AC63" s="358"/>
    </row>
    <row r="64" ht="15.6" spans="1:29">
      <c r="A64" s="358"/>
      <c r="B64" s="461"/>
      <c r="C64" s="465"/>
      <c r="D64" s="257"/>
      <c r="E64" s="358"/>
      <c r="F64" s="358"/>
      <c r="G64" s="358"/>
      <c r="H64" s="358"/>
      <c r="I64" s="521"/>
      <c r="J64" s="465"/>
      <c r="K64" s="257"/>
      <c r="L64" s="257"/>
      <c r="M64" s="257"/>
      <c r="N64" s="257"/>
      <c r="O64" s="257"/>
      <c r="P64" s="257"/>
      <c r="Q64" s="520"/>
      <c r="R64" s="358"/>
      <c r="S64" s="358"/>
      <c r="T64" s="358"/>
      <c r="U64" s="358"/>
      <c r="V64" s="358"/>
      <c r="W64" s="358"/>
      <c r="X64" s="358"/>
      <c r="Y64" s="358"/>
      <c r="Z64" s="358"/>
      <c r="AA64" s="358"/>
      <c r="AB64" s="358"/>
      <c r="AC64" s="358"/>
    </row>
    <row r="65" ht="16.35" spans="1:29">
      <c r="A65" s="358"/>
      <c r="B65" s="461"/>
      <c r="C65" s="465"/>
      <c r="D65" s="466"/>
      <c r="E65" s="358"/>
      <c r="F65" s="358"/>
      <c r="G65" s="358"/>
      <c r="H65" s="358"/>
      <c r="I65" s="521"/>
      <c r="J65" s="465"/>
      <c r="K65" s="466"/>
      <c r="L65" s="466"/>
      <c r="M65" s="466"/>
      <c r="N65" s="466"/>
      <c r="O65" s="466"/>
      <c r="P65" s="466"/>
      <c r="Q65" s="520"/>
      <c r="R65" s="358"/>
      <c r="S65" s="358"/>
      <c r="T65" s="358"/>
      <c r="U65" s="358"/>
      <c r="V65" s="358"/>
      <c r="W65" s="358"/>
      <c r="X65" s="358"/>
      <c r="Y65" s="358"/>
      <c r="Z65" s="358"/>
      <c r="AA65" s="358"/>
      <c r="AB65" s="358"/>
      <c r="AC65" s="358"/>
    </row>
    <row r="66" ht="15.6" spans="1:29">
      <c r="A66" s="555"/>
      <c r="B66" s="461"/>
      <c r="C66" s="556"/>
      <c r="D66" s="557"/>
      <c r="E66" s="558"/>
      <c r="F66" s="558"/>
      <c r="G66" s="558"/>
      <c r="H66" s="558"/>
      <c r="I66" s="558"/>
      <c r="J66" s="557"/>
      <c r="K66" s="557"/>
      <c r="L66" s="557"/>
      <c r="M66" s="557"/>
      <c r="N66" s="557"/>
      <c r="O66" s="557"/>
      <c r="P66" s="557"/>
      <c r="Q66" s="557"/>
      <c r="R66" s="558"/>
      <c r="S66" s="558"/>
      <c r="T66" s="558"/>
      <c r="U66" s="600"/>
      <c r="V66" s="555"/>
      <c r="W66" s="358"/>
      <c r="X66" s="358"/>
      <c r="Y66" s="358"/>
      <c r="Z66" s="358"/>
      <c r="AA66" s="358"/>
      <c r="AB66" s="358"/>
      <c r="AC66" s="358"/>
    </row>
    <row r="67" ht="15.6" spans="1:29">
      <c r="A67" s="555"/>
      <c r="B67" s="461"/>
      <c r="C67" s="559"/>
      <c r="D67" s="560"/>
      <c r="E67" s="555"/>
      <c r="F67" s="555"/>
      <c r="G67" s="555"/>
      <c r="H67" s="555"/>
      <c r="I67" s="555"/>
      <c r="J67" s="588"/>
      <c r="K67" s="588"/>
      <c r="L67" s="588"/>
      <c r="M67" s="588"/>
      <c r="N67" s="588"/>
      <c r="O67" s="588"/>
      <c r="P67" s="588"/>
      <c r="Q67" s="588"/>
      <c r="R67" s="555"/>
      <c r="S67" s="555"/>
      <c r="T67" s="555"/>
      <c r="U67" s="601"/>
      <c r="V67" s="555"/>
      <c r="W67" s="358"/>
      <c r="X67" s="358"/>
      <c r="Y67" s="358"/>
      <c r="Z67" s="358"/>
      <c r="AA67" s="358"/>
      <c r="AB67" s="358"/>
      <c r="AC67" s="358"/>
    </row>
    <row r="68" ht="15.6" spans="1:29">
      <c r="A68" s="555"/>
      <c r="B68" s="461"/>
      <c r="C68" s="559"/>
      <c r="D68" s="560"/>
      <c r="E68" s="555"/>
      <c r="F68" s="555"/>
      <c r="G68" s="555"/>
      <c r="H68" s="555"/>
      <c r="I68" s="555"/>
      <c r="J68" s="588"/>
      <c r="K68" s="588"/>
      <c r="L68" s="588"/>
      <c r="M68" s="588"/>
      <c r="N68" s="588"/>
      <c r="O68" s="588"/>
      <c r="P68" s="588"/>
      <c r="Q68" s="588"/>
      <c r="R68" s="555"/>
      <c r="S68" s="555"/>
      <c r="T68" s="555"/>
      <c r="U68" s="601"/>
      <c r="V68" s="555"/>
      <c r="W68" s="358"/>
      <c r="X68" s="358"/>
      <c r="Y68" s="358"/>
      <c r="Z68" s="358"/>
      <c r="AA68" s="358"/>
      <c r="AB68" s="358"/>
      <c r="AC68" s="358"/>
    </row>
    <row r="69" ht="15.6" spans="1:29">
      <c r="A69" s="555"/>
      <c r="B69" s="461"/>
      <c r="C69" s="559"/>
      <c r="D69" s="560"/>
      <c r="E69" s="555"/>
      <c r="F69" s="555"/>
      <c r="G69" s="555"/>
      <c r="H69" s="555"/>
      <c r="I69" s="555"/>
      <c r="J69" s="588"/>
      <c r="K69" s="588"/>
      <c r="L69" s="588"/>
      <c r="M69" s="588"/>
      <c r="N69" s="588"/>
      <c r="O69" s="588"/>
      <c r="P69" s="588"/>
      <c r="Q69" s="588"/>
      <c r="R69" s="555"/>
      <c r="S69" s="555"/>
      <c r="T69" s="555"/>
      <c r="U69" s="601"/>
      <c r="V69" s="555"/>
      <c r="W69" s="358"/>
      <c r="X69" s="358"/>
      <c r="Y69" s="358"/>
      <c r="Z69" s="358"/>
      <c r="AA69" s="358"/>
      <c r="AB69" s="358"/>
      <c r="AC69" s="358"/>
    </row>
    <row r="70" ht="15.6" spans="1:29">
      <c r="A70" s="555"/>
      <c r="B70" s="461"/>
      <c r="C70" s="559"/>
      <c r="D70" s="560"/>
      <c r="E70" s="555"/>
      <c r="F70" s="555"/>
      <c r="G70" s="555"/>
      <c r="H70" s="555"/>
      <c r="I70" s="555"/>
      <c r="J70" s="588"/>
      <c r="K70" s="588"/>
      <c r="L70" s="588"/>
      <c r="M70" s="588"/>
      <c r="N70" s="588"/>
      <c r="O70" s="588"/>
      <c r="P70" s="588"/>
      <c r="Q70" s="588"/>
      <c r="R70" s="555"/>
      <c r="S70" s="555"/>
      <c r="T70" s="555"/>
      <c r="U70" s="601"/>
      <c r="V70" s="555"/>
      <c r="W70" s="358"/>
      <c r="X70" s="358"/>
      <c r="Y70" s="358"/>
      <c r="Z70" s="358"/>
      <c r="AA70" s="358"/>
      <c r="AB70" s="358"/>
      <c r="AC70" s="358"/>
    </row>
    <row r="71" ht="15.6" spans="1:29">
      <c r="A71" s="555"/>
      <c r="B71" s="461"/>
      <c r="C71" s="559"/>
      <c r="D71" s="560"/>
      <c r="E71" s="555"/>
      <c r="F71" s="555"/>
      <c r="G71" s="555"/>
      <c r="H71" s="555"/>
      <c r="I71" s="555"/>
      <c r="J71" s="588"/>
      <c r="K71" s="588"/>
      <c r="L71" s="588"/>
      <c r="M71" s="588"/>
      <c r="N71" s="588"/>
      <c r="O71" s="588"/>
      <c r="P71" s="588"/>
      <c r="Q71" s="588"/>
      <c r="R71" s="555"/>
      <c r="S71" s="555"/>
      <c r="T71" s="555"/>
      <c r="U71" s="601"/>
      <c r="V71" s="555"/>
      <c r="W71" s="358"/>
      <c r="X71" s="358"/>
      <c r="Y71" s="358"/>
      <c r="Z71" s="358"/>
      <c r="AA71" s="358"/>
      <c r="AB71" s="358"/>
      <c r="AC71" s="358"/>
    </row>
    <row r="72" ht="15.6" spans="1:29">
      <c r="A72" s="555"/>
      <c r="B72" s="461"/>
      <c r="C72" s="559"/>
      <c r="D72" s="560"/>
      <c r="E72" s="555"/>
      <c r="F72" s="555"/>
      <c r="G72" s="555"/>
      <c r="H72" s="555"/>
      <c r="I72" s="555"/>
      <c r="J72" s="588"/>
      <c r="K72" s="588"/>
      <c r="L72" s="588"/>
      <c r="M72" s="588"/>
      <c r="N72" s="588"/>
      <c r="O72" s="588"/>
      <c r="P72" s="588"/>
      <c r="Q72" s="588"/>
      <c r="R72" s="555"/>
      <c r="S72" s="555"/>
      <c r="T72" s="555"/>
      <c r="U72" s="601"/>
      <c r="V72" s="555"/>
      <c r="W72" s="358"/>
      <c r="X72" s="358"/>
      <c r="Y72" s="358"/>
      <c r="Z72" s="358"/>
      <c r="AA72" s="358"/>
      <c r="AB72" s="358"/>
      <c r="AC72" s="358"/>
    </row>
    <row r="73" ht="15.6" spans="1:29">
      <c r="A73" s="555"/>
      <c r="B73" s="461"/>
      <c r="C73" s="559"/>
      <c r="D73" s="560"/>
      <c r="E73" s="555"/>
      <c r="F73" s="555"/>
      <c r="G73" s="555"/>
      <c r="H73" s="555"/>
      <c r="I73" s="555"/>
      <c r="J73" s="588"/>
      <c r="K73" s="588"/>
      <c r="L73" s="588"/>
      <c r="M73" s="588"/>
      <c r="N73" s="588"/>
      <c r="O73" s="588"/>
      <c r="P73" s="588"/>
      <c r="Q73" s="588"/>
      <c r="R73" s="555"/>
      <c r="S73" s="555"/>
      <c r="T73" s="555"/>
      <c r="U73" s="601"/>
      <c r="V73" s="555"/>
      <c r="W73" s="358"/>
      <c r="X73" s="358"/>
      <c r="Y73" s="358"/>
      <c r="Z73" s="358"/>
      <c r="AA73" s="358"/>
      <c r="AB73" s="358"/>
      <c r="AC73" s="358"/>
    </row>
    <row r="74" ht="15.6" spans="1:29">
      <c r="A74" s="555"/>
      <c r="B74" s="461"/>
      <c r="C74" s="559"/>
      <c r="D74" s="560"/>
      <c r="E74" s="555"/>
      <c r="F74" s="555"/>
      <c r="G74" s="555"/>
      <c r="H74" s="555"/>
      <c r="I74" s="555"/>
      <c r="J74" s="588"/>
      <c r="K74" s="588"/>
      <c r="L74" s="588"/>
      <c r="M74" s="588"/>
      <c r="N74" s="588"/>
      <c r="O74" s="588"/>
      <c r="P74" s="588"/>
      <c r="Q74" s="588"/>
      <c r="R74" s="555"/>
      <c r="S74" s="555"/>
      <c r="T74" s="555"/>
      <c r="U74" s="601"/>
      <c r="V74" s="555"/>
      <c r="W74" s="358"/>
      <c r="X74" s="358"/>
      <c r="Y74" s="358"/>
      <c r="Z74" s="358"/>
      <c r="AA74" s="358"/>
      <c r="AB74" s="358"/>
      <c r="AC74" s="358"/>
    </row>
    <row r="75" ht="15.6" spans="1:29">
      <c r="A75" s="555"/>
      <c r="B75" s="461"/>
      <c r="C75" s="559"/>
      <c r="D75" s="560"/>
      <c r="E75" s="555"/>
      <c r="F75" s="555"/>
      <c r="G75" s="555"/>
      <c r="H75" s="555"/>
      <c r="I75" s="555"/>
      <c r="J75" s="588"/>
      <c r="K75" s="588"/>
      <c r="L75" s="588"/>
      <c r="M75" s="588"/>
      <c r="N75" s="588"/>
      <c r="O75" s="588"/>
      <c r="P75" s="588"/>
      <c r="Q75" s="588"/>
      <c r="R75" s="555"/>
      <c r="S75" s="555"/>
      <c r="T75" s="555"/>
      <c r="U75" s="601"/>
      <c r="V75" s="555"/>
      <c r="W75" s="358"/>
      <c r="X75" s="358"/>
      <c r="Y75" s="358"/>
      <c r="Z75" s="358"/>
      <c r="AA75" s="358"/>
      <c r="AB75" s="358"/>
      <c r="AC75" s="358"/>
    </row>
    <row r="76" ht="15.6" spans="1:29">
      <c r="A76" s="555"/>
      <c r="B76" s="461"/>
      <c r="C76" s="559"/>
      <c r="D76" s="560"/>
      <c r="E76" s="555"/>
      <c r="F76" s="555"/>
      <c r="G76" s="555"/>
      <c r="H76" s="555"/>
      <c r="I76" s="555"/>
      <c r="J76" s="588"/>
      <c r="K76" s="588"/>
      <c r="L76" s="588"/>
      <c r="M76" s="588"/>
      <c r="N76" s="588"/>
      <c r="O76" s="588"/>
      <c r="P76" s="588"/>
      <c r="Q76" s="588"/>
      <c r="R76" s="555"/>
      <c r="S76" s="555"/>
      <c r="T76" s="555"/>
      <c r="U76" s="601"/>
      <c r="V76" s="555"/>
      <c r="W76" s="358"/>
      <c r="X76" s="358"/>
      <c r="Y76" s="358"/>
      <c r="Z76" s="358"/>
      <c r="AA76" s="358"/>
      <c r="AB76" s="358"/>
      <c r="AC76" s="358"/>
    </row>
    <row r="77" ht="15.6" spans="1:29">
      <c r="A77" s="555"/>
      <c r="B77" s="461"/>
      <c r="C77" s="559"/>
      <c r="D77" s="560"/>
      <c r="E77" s="555"/>
      <c r="F77" s="555"/>
      <c r="G77" s="555"/>
      <c r="H77" s="555"/>
      <c r="I77" s="555"/>
      <c r="J77" s="588"/>
      <c r="K77" s="588"/>
      <c r="L77" s="588"/>
      <c r="M77" s="588"/>
      <c r="N77" s="588"/>
      <c r="O77" s="588"/>
      <c r="P77" s="588"/>
      <c r="Q77" s="588"/>
      <c r="R77" s="555"/>
      <c r="S77" s="555"/>
      <c r="T77" s="555"/>
      <c r="U77" s="601"/>
      <c r="V77" s="555"/>
      <c r="W77" s="358"/>
      <c r="X77" s="358"/>
      <c r="Y77" s="358"/>
      <c r="Z77" s="358"/>
      <c r="AA77" s="358"/>
      <c r="AB77" s="358"/>
      <c r="AC77" s="358"/>
    </row>
    <row r="78" ht="15.6" spans="1:29">
      <c r="A78" s="555"/>
      <c r="B78" s="461"/>
      <c r="C78" s="559"/>
      <c r="D78" s="560"/>
      <c r="E78" s="555"/>
      <c r="F78" s="555"/>
      <c r="G78" s="555"/>
      <c r="H78" s="555"/>
      <c r="I78" s="555"/>
      <c r="J78" s="588"/>
      <c r="K78" s="588"/>
      <c r="L78" s="588"/>
      <c r="M78" s="588"/>
      <c r="N78" s="588"/>
      <c r="O78" s="588"/>
      <c r="P78" s="588"/>
      <c r="Q78" s="588"/>
      <c r="R78" s="555"/>
      <c r="S78" s="555"/>
      <c r="T78" s="555"/>
      <c r="U78" s="601"/>
      <c r="V78" s="555"/>
      <c r="W78" s="358"/>
      <c r="X78" s="358"/>
      <c r="Y78" s="358"/>
      <c r="Z78" s="358"/>
      <c r="AA78" s="358"/>
      <c r="AB78" s="358"/>
      <c r="AC78" s="358"/>
    </row>
    <row r="79" ht="15.6" spans="1:29">
      <c r="A79" s="555"/>
      <c r="B79" s="461"/>
      <c r="C79" s="559"/>
      <c r="D79" s="560"/>
      <c r="E79" s="555"/>
      <c r="F79" s="555"/>
      <c r="G79" s="555"/>
      <c r="H79" s="555"/>
      <c r="I79" s="555"/>
      <c r="J79" s="588"/>
      <c r="K79" s="588"/>
      <c r="L79" s="588"/>
      <c r="M79" s="588"/>
      <c r="N79" s="588"/>
      <c r="O79" s="588"/>
      <c r="P79" s="588"/>
      <c r="Q79" s="588"/>
      <c r="R79" s="555"/>
      <c r="S79" s="555"/>
      <c r="T79" s="555"/>
      <c r="U79" s="601"/>
      <c r="V79" s="555"/>
      <c r="W79" s="358"/>
      <c r="X79" s="358"/>
      <c r="Y79" s="358"/>
      <c r="Z79" s="358"/>
      <c r="AA79" s="358"/>
      <c r="AB79" s="358"/>
      <c r="AC79" s="358"/>
    </row>
    <row r="80" ht="15.6" spans="1:29">
      <c r="A80" s="555"/>
      <c r="B80" s="461"/>
      <c r="C80" s="559"/>
      <c r="D80" s="560"/>
      <c r="E80" s="555"/>
      <c r="F80" s="555"/>
      <c r="G80" s="555"/>
      <c r="H80" s="555"/>
      <c r="I80" s="555"/>
      <c r="J80" s="588"/>
      <c r="K80" s="588"/>
      <c r="L80" s="588"/>
      <c r="M80" s="588"/>
      <c r="N80" s="588"/>
      <c r="O80" s="588"/>
      <c r="P80" s="588"/>
      <c r="Q80" s="588"/>
      <c r="R80" s="555"/>
      <c r="S80" s="555"/>
      <c r="T80" s="555"/>
      <c r="U80" s="601"/>
      <c r="V80" s="555"/>
      <c r="W80" s="358"/>
      <c r="X80" s="358"/>
      <c r="Y80" s="358"/>
      <c r="Z80" s="358"/>
      <c r="AA80" s="358"/>
      <c r="AB80" s="358"/>
      <c r="AC80" s="358"/>
    </row>
    <row r="81" ht="15.6" spans="1:29">
      <c r="A81" s="555"/>
      <c r="B81" s="461"/>
      <c r="C81" s="559"/>
      <c r="D81" s="560"/>
      <c r="E81" s="555"/>
      <c r="F81" s="555"/>
      <c r="G81" s="555"/>
      <c r="H81" s="555"/>
      <c r="I81" s="555"/>
      <c r="J81" s="588"/>
      <c r="K81" s="588"/>
      <c r="L81" s="588"/>
      <c r="M81" s="588"/>
      <c r="N81" s="588"/>
      <c r="O81" s="588"/>
      <c r="P81" s="588"/>
      <c r="Q81" s="588"/>
      <c r="R81" s="555"/>
      <c r="S81" s="555"/>
      <c r="T81" s="555"/>
      <c r="U81" s="601"/>
      <c r="V81" s="555"/>
      <c r="W81" s="358"/>
      <c r="X81" s="358"/>
      <c r="Y81" s="358"/>
      <c r="Z81" s="358"/>
      <c r="AA81" s="358"/>
      <c r="AB81" s="358"/>
      <c r="AC81" s="358"/>
    </row>
    <row r="82" ht="15.6" spans="1:29">
      <c r="A82" s="555"/>
      <c r="B82" s="461"/>
      <c r="C82" s="559"/>
      <c r="D82" s="560"/>
      <c r="E82" s="555"/>
      <c r="F82" s="555"/>
      <c r="G82" s="555"/>
      <c r="H82" s="555"/>
      <c r="I82" s="555"/>
      <c r="J82" s="588"/>
      <c r="K82" s="588"/>
      <c r="L82" s="588"/>
      <c r="M82" s="588"/>
      <c r="N82" s="588"/>
      <c r="O82" s="588"/>
      <c r="P82" s="588"/>
      <c r="Q82" s="588"/>
      <c r="R82" s="555"/>
      <c r="S82" s="555"/>
      <c r="T82" s="555"/>
      <c r="U82" s="601"/>
      <c r="V82" s="555"/>
      <c r="W82" s="358"/>
      <c r="X82" s="358"/>
      <c r="Y82" s="358"/>
      <c r="Z82" s="358"/>
      <c r="AA82" s="358"/>
      <c r="AB82" s="358"/>
      <c r="AC82" s="358"/>
    </row>
    <row r="83" ht="15.6" spans="1:29">
      <c r="A83" s="555"/>
      <c r="B83" s="461"/>
      <c r="C83" s="559"/>
      <c r="D83" s="560"/>
      <c r="E83" s="555"/>
      <c r="F83" s="555"/>
      <c r="G83" s="555"/>
      <c r="H83" s="555"/>
      <c r="I83" s="555"/>
      <c r="J83" s="588"/>
      <c r="K83" s="588"/>
      <c r="L83" s="588"/>
      <c r="M83" s="588"/>
      <c r="N83" s="588"/>
      <c r="O83" s="588"/>
      <c r="P83" s="588"/>
      <c r="Q83" s="588"/>
      <c r="R83" s="555"/>
      <c r="S83" s="555"/>
      <c r="T83" s="555"/>
      <c r="U83" s="601"/>
      <c r="V83" s="555"/>
      <c r="W83" s="358"/>
      <c r="X83" s="358"/>
      <c r="Y83" s="358"/>
      <c r="Z83" s="358"/>
      <c r="AA83" s="358"/>
      <c r="AB83" s="358"/>
      <c r="AC83" s="358"/>
    </row>
    <row r="84" ht="15.6" spans="1:29">
      <c r="A84" s="555"/>
      <c r="B84" s="461"/>
      <c r="C84" s="559"/>
      <c r="D84" s="560"/>
      <c r="E84" s="555"/>
      <c r="F84" s="555"/>
      <c r="G84" s="555"/>
      <c r="H84" s="555"/>
      <c r="I84" s="555"/>
      <c r="J84" s="588"/>
      <c r="K84" s="588"/>
      <c r="L84" s="588"/>
      <c r="M84" s="588"/>
      <c r="N84" s="588"/>
      <c r="O84" s="588"/>
      <c r="P84" s="588"/>
      <c r="Q84" s="588"/>
      <c r="R84" s="555"/>
      <c r="S84" s="555"/>
      <c r="T84" s="555"/>
      <c r="U84" s="601"/>
      <c r="V84" s="555"/>
      <c r="W84" s="358"/>
      <c r="X84" s="358"/>
      <c r="Y84" s="358"/>
      <c r="Z84" s="358"/>
      <c r="AA84" s="358"/>
      <c r="AB84" s="358"/>
      <c r="AC84" s="358"/>
    </row>
    <row r="85" ht="15.6" spans="1:29">
      <c r="A85" s="555"/>
      <c r="B85" s="461"/>
      <c r="C85" s="559"/>
      <c r="D85" s="560"/>
      <c r="E85" s="555"/>
      <c r="F85" s="555"/>
      <c r="G85" s="555"/>
      <c r="H85" s="555"/>
      <c r="I85" s="555"/>
      <c r="J85" s="588"/>
      <c r="K85" s="588"/>
      <c r="L85" s="588"/>
      <c r="M85" s="588"/>
      <c r="N85" s="588"/>
      <c r="O85" s="588"/>
      <c r="P85" s="588"/>
      <c r="Q85" s="588"/>
      <c r="R85" s="555"/>
      <c r="S85" s="555"/>
      <c r="T85" s="555"/>
      <c r="U85" s="601"/>
      <c r="V85" s="555"/>
      <c r="W85" s="358"/>
      <c r="X85" s="358"/>
      <c r="Y85" s="358"/>
      <c r="Z85" s="358"/>
      <c r="AA85" s="358"/>
      <c r="AB85" s="358"/>
      <c r="AC85" s="358"/>
    </row>
    <row r="86" ht="15.6" spans="1:29">
      <c r="A86" s="555"/>
      <c r="B86" s="461"/>
      <c r="C86" s="559"/>
      <c r="D86" s="560"/>
      <c r="E86" s="555"/>
      <c r="F86" s="555"/>
      <c r="G86" s="555"/>
      <c r="H86" s="555"/>
      <c r="I86" s="555"/>
      <c r="J86" s="588"/>
      <c r="K86" s="588"/>
      <c r="L86" s="588"/>
      <c r="M86" s="588"/>
      <c r="N86" s="588"/>
      <c r="O86" s="588"/>
      <c r="P86" s="588"/>
      <c r="Q86" s="588"/>
      <c r="R86" s="555"/>
      <c r="S86" s="555"/>
      <c r="T86" s="555"/>
      <c r="U86" s="601"/>
      <c r="V86" s="555"/>
      <c r="W86" s="358"/>
      <c r="X86" s="358"/>
      <c r="Y86" s="358"/>
      <c r="Z86" s="358"/>
      <c r="AA86" s="358"/>
      <c r="AB86" s="358"/>
      <c r="AC86" s="358"/>
    </row>
    <row r="87" ht="15.6" spans="1:29">
      <c r="A87" s="555"/>
      <c r="B87" s="461"/>
      <c r="C87" s="559"/>
      <c r="D87" s="560"/>
      <c r="E87" s="555"/>
      <c r="F87" s="555"/>
      <c r="G87" s="555"/>
      <c r="H87" s="555"/>
      <c r="I87" s="555"/>
      <c r="J87" s="588"/>
      <c r="K87" s="588"/>
      <c r="L87" s="588"/>
      <c r="M87" s="588"/>
      <c r="N87" s="588"/>
      <c r="O87" s="588"/>
      <c r="P87" s="588"/>
      <c r="Q87" s="588"/>
      <c r="R87" s="555"/>
      <c r="S87" s="555"/>
      <c r="T87" s="555"/>
      <c r="U87" s="601"/>
      <c r="V87" s="555"/>
      <c r="W87" s="358"/>
      <c r="X87" s="358"/>
      <c r="Y87" s="358"/>
      <c r="Z87" s="358"/>
      <c r="AA87" s="358"/>
      <c r="AB87" s="358"/>
      <c r="AC87" s="358"/>
    </row>
    <row r="88" ht="15.6" spans="1:29">
      <c r="A88" s="555"/>
      <c r="B88" s="461"/>
      <c r="C88" s="559"/>
      <c r="D88" s="560"/>
      <c r="E88" s="555"/>
      <c r="F88" s="555"/>
      <c r="G88" s="555"/>
      <c r="H88" s="555"/>
      <c r="I88" s="555"/>
      <c r="J88" s="588"/>
      <c r="K88" s="588"/>
      <c r="L88" s="588"/>
      <c r="M88" s="588"/>
      <c r="N88" s="588"/>
      <c r="O88" s="588"/>
      <c r="P88" s="588"/>
      <c r="Q88" s="588"/>
      <c r="R88" s="555"/>
      <c r="S88" s="555"/>
      <c r="T88" s="555"/>
      <c r="U88" s="601"/>
      <c r="V88" s="555"/>
      <c r="W88" s="358"/>
      <c r="X88" s="358"/>
      <c r="Y88" s="358"/>
      <c r="Z88" s="358"/>
      <c r="AA88" s="358"/>
      <c r="AB88" s="358"/>
      <c r="AC88" s="358"/>
    </row>
    <row r="89" ht="15.6" spans="1:29">
      <c r="A89" s="555"/>
      <c r="B89" s="461"/>
      <c r="C89" s="559"/>
      <c r="D89" s="560"/>
      <c r="E89" s="555"/>
      <c r="F89" s="555"/>
      <c r="G89" s="555"/>
      <c r="H89" s="555"/>
      <c r="I89" s="555"/>
      <c r="J89" s="588"/>
      <c r="K89" s="588"/>
      <c r="L89" s="588"/>
      <c r="M89" s="588"/>
      <c r="N89" s="588"/>
      <c r="O89" s="588"/>
      <c r="P89" s="588"/>
      <c r="Q89" s="588"/>
      <c r="R89" s="555"/>
      <c r="S89" s="555"/>
      <c r="T89" s="555"/>
      <c r="U89" s="601"/>
      <c r="V89" s="555"/>
      <c r="W89" s="358"/>
      <c r="X89" s="358"/>
      <c r="Y89" s="358"/>
      <c r="Z89" s="358"/>
      <c r="AA89" s="358"/>
      <c r="AB89" s="358"/>
      <c r="AC89" s="358"/>
    </row>
    <row r="90" ht="15.6" spans="1:29">
      <c r="A90" s="555"/>
      <c r="B90" s="461"/>
      <c r="C90" s="559"/>
      <c r="D90" s="560"/>
      <c r="E90" s="555"/>
      <c r="F90" s="555"/>
      <c r="G90" s="555"/>
      <c r="H90" s="555"/>
      <c r="I90" s="555"/>
      <c r="J90" s="588"/>
      <c r="K90" s="588"/>
      <c r="L90" s="588"/>
      <c r="M90" s="588"/>
      <c r="N90" s="588"/>
      <c r="O90" s="588"/>
      <c r="P90" s="588"/>
      <c r="Q90" s="588"/>
      <c r="R90" s="555"/>
      <c r="S90" s="555"/>
      <c r="T90" s="555"/>
      <c r="U90" s="601"/>
      <c r="V90" s="555"/>
      <c r="W90" s="358"/>
      <c r="X90" s="358"/>
      <c r="Y90" s="358"/>
      <c r="Z90" s="358"/>
      <c r="AA90" s="358"/>
      <c r="AB90" s="358"/>
      <c r="AC90" s="358"/>
    </row>
    <row r="91" ht="15.6" spans="1:29">
      <c r="A91" s="555"/>
      <c r="B91" s="461"/>
      <c r="C91" s="559"/>
      <c r="D91" s="560"/>
      <c r="E91" s="555"/>
      <c r="F91" s="555"/>
      <c r="G91" s="555"/>
      <c r="H91" s="555"/>
      <c r="I91" s="555"/>
      <c r="J91" s="588"/>
      <c r="K91" s="588"/>
      <c r="L91" s="588"/>
      <c r="M91" s="588"/>
      <c r="N91" s="588"/>
      <c r="O91" s="588"/>
      <c r="P91" s="588"/>
      <c r="Q91" s="588"/>
      <c r="R91" s="555"/>
      <c r="S91" s="555"/>
      <c r="T91" s="555"/>
      <c r="U91" s="601"/>
      <c r="V91" s="555"/>
      <c r="W91" s="358"/>
      <c r="X91" s="358"/>
      <c r="Y91" s="358"/>
      <c r="Z91" s="358"/>
      <c r="AA91" s="358"/>
      <c r="AB91" s="358"/>
      <c r="AC91" s="358"/>
    </row>
    <row r="92" ht="15.6" spans="1:29">
      <c r="A92" s="555"/>
      <c r="B92" s="461"/>
      <c r="C92" s="559"/>
      <c r="D92" s="560"/>
      <c r="E92" s="555"/>
      <c r="F92" s="555"/>
      <c r="G92" s="555"/>
      <c r="H92" s="555"/>
      <c r="I92" s="555"/>
      <c r="J92" s="588"/>
      <c r="K92" s="588"/>
      <c r="L92" s="588"/>
      <c r="M92" s="588"/>
      <c r="N92" s="588"/>
      <c r="O92" s="588"/>
      <c r="P92" s="588"/>
      <c r="Q92" s="588"/>
      <c r="R92" s="555"/>
      <c r="S92" s="555"/>
      <c r="T92" s="555"/>
      <c r="U92" s="601"/>
      <c r="V92" s="555"/>
      <c r="W92" s="358"/>
      <c r="X92" s="358"/>
      <c r="Y92" s="358"/>
      <c r="Z92" s="358"/>
      <c r="AA92" s="358"/>
      <c r="AB92" s="358"/>
      <c r="AC92" s="358"/>
    </row>
    <row r="93" ht="15.6" spans="1:29">
      <c r="A93" s="555"/>
      <c r="B93" s="461"/>
      <c r="C93" s="559"/>
      <c r="D93" s="560"/>
      <c r="E93" s="555"/>
      <c r="F93" s="555"/>
      <c r="G93" s="555"/>
      <c r="H93" s="555"/>
      <c r="I93" s="555"/>
      <c r="J93" s="588"/>
      <c r="K93" s="588"/>
      <c r="L93" s="588"/>
      <c r="M93" s="588"/>
      <c r="N93" s="588"/>
      <c r="O93" s="588"/>
      <c r="P93" s="588"/>
      <c r="Q93" s="588"/>
      <c r="R93" s="555"/>
      <c r="S93" s="555"/>
      <c r="T93" s="555"/>
      <c r="U93" s="601"/>
      <c r="V93" s="555"/>
      <c r="W93" s="358"/>
      <c r="X93" s="358"/>
      <c r="Y93" s="358"/>
      <c r="Z93" s="358"/>
      <c r="AA93" s="358"/>
      <c r="AB93" s="358"/>
      <c r="AC93" s="358"/>
    </row>
    <row r="94" ht="15.6" spans="1:29">
      <c r="A94" s="555"/>
      <c r="B94" s="461"/>
      <c r="C94" s="559"/>
      <c r="D94" s="560"/>
      <c r="E94" s="555"/>
      <c r="F94" s="555"/>
      <c r="G94" s="555"/>
      <c r="H94" s="555"/>
      <c r="I94" s="555"/>
      <c r="J94" s="588"/>
      <c r="K94" s="588"/>
      <c r="L94" s="588"/>
      <c r="M94" s="588"/>
      <c r="N94" s="588"/>
      <c r="O94" s="588"/>
      <c r="P94" s="588"/>
      <c r="Q94" s="588"/>
      <c r="R94" s="555"/>
      <c r="S94" s="555"/>
      <c r="T94" s="555"/>
      <c r="U94" s="601"/>
      <c r="V94" s="555"/>
      <c r="W94" s="358"/>
      <c r="X94" s="358"/>
      <c r="Y94" s="358"/>
      <c r="Z94" s="358"/>
      <c r="AA94" s="358"/>
      <c r="AB94" s="358"/>
      <c r="AC94" s="358"/>
    </row>
    <row r="95" ht="15.6" spans="1:29">
      <c r="A95" s="555"/>
      <c r="B95" s="461"/>
      <c r="C95" s="559"/>
      <c r="D95" s="560"/>
      <c r="E95" s="555"/>
      <c r="F95" s="555"/>
      <c r="G95" s="555"/>
      <c r="H95" s="555"/>
      <c r="I95" s="555"/>
      <c r="J95" s="588"/>
      <c r="K95" s="588"/>
      <c r="L95" s="588"/>
      <c r="M95" s="588"/>
      <c r="N95" s="588"/>
      <c r="O95" s="588"/>
      <c r="P95" s="588"/>
      <c r="Q95" s="588"/>
      <c r="R95" s="555"/>
      <c r="S95" s="555"/>
      <c r="T95" s="555"/>
      <c r="U95" s="601"/>
      <c r="V95" s="555"/>
      <c r="W95" s="358"/>
      <c r="X95" s="358"/>
      <c r="Y95" s="358"/>
      <c r="Z95" s="358"/>
      <c r="AA95" s="358"/>
      <c r="AB95" s="358"/>
      <c r="AC95" s="358"/>
    </row>
    <row r="96" ht="15.6" spans="1:29">
      <c r="A96" s="555"/>
      <c r="B96" s="461"/>
      <c r="C96" s="559"/>
      <c r="D96" s="560"/>
      <c r="E96" s="555"/>
      <c r="F96" s="555"/>
      <c r="G96" s="555"/>
      <c r="H96" s="555"/>
      <c r="I96" s="555"/>
      <c r="J96" s="555"/>
      <c r="K96" s="555"/>
      <c r="L96" s="555"/>
      <c r="M96" s="555"/>
      <c r="N96" s="555"/>
      <c r="O96" s="555"/>
      <c r="P96" s="555"/>
      <c r="Q96" s="555"/>
      <c r="R96" s="555"/>
      <c r="S96" s="555"/>
      <c r="T96" s="555"/>
      <c r="U96" s="601"/>
      <c r="V96" s="555"/>
      <c r="W96" s="358"/>
      <c r="X96" s="358"/>
      <c r="Y96" s="358"/>
      <c r="Z96" s="358"/>
      <c r="AA96" s="358"/>
      <c r="AB96" s="358"/>
      <c r="AC96" s="358"/>
    </row>
    <row r="97" ht="15.6" spans="1:29">
      <c r="A97" s="555"/>
      <c r="B97" s="461"/>
      <c r="C97" s="559"/>
      <c r="D97" s="560"/>
      <c r="E97" s="555"/>
      <c r="F97" s="555"/>
      <c r="G97" s="555"/>
      <c r="H97" s="555"/>
      <c r="I97" s="555"/>
      <c r="J97" s="555"/>
      <c r="K97" s="555"/>
      <c r="L97" s="555"/>
      <c r="M97" s="555"/>
      <c r="N97" s="555"/>
      <c r="O97" s="555"/>
      <c r="P97" s="555"/>
      <c r="Q97" s="555"/>
      <c r="R97" s="555"/>
      <c r="S97" s="555"/>
      <c r="T97" s="555"/>
      <c r="U97" s="601"/>
      <c r="V97" s="555"/>
      <c r="W97" s="358"/>
      <c r="X97" s="358"/>
      <c r="Y97" s="358"/>
      <c r="Z97" s="358"/>
      <c r="AA97" s="358"/>
      <c r="AB97" s="358"/>
      <c r="AC97" s="358"/>
    </row>
    <row r="98" ht="16.35" spans="1:29">
      <c r="A98" s="555"/>
      <c r="B98" s="561"/>
      <c r="C98" s="562"/>
      <c r="D98" s="563"/>
      <c r="E98" s="564"/>
      <c r="F98" s="564"/>
      <c r="G98" s="564"/>
      <c r="H98" s="564"/>
      <c r="I98" s="564"/>
      <c r="J98" s="564"/>
      <c r="K98" s="564"/>
      <c r="L98" s="564"/>
      <c r="M98" s="564"/>
      <c r="N98" s="564"/>
      <c r="O98" s="564"/>
      <c r="P98" s="564"/>
      <c r="Q98" s="564"/>
      <c r="R98" s="564"/>
      <c r="S98" s="564"/>
      <c r="T98" s="564"/>
      <c r="U98" s="602"/>
      <c r="V98" s="555"/>
      <c r="W98" s="358"/>
      <c r="X98" s="358"/>
      <c r="Y98" s="358"/>
      <c r="Z98" s="358"/>
      <c r="AA98" s="358"/>
      <c r="AB98" s="358"/>
      <c r="AC98" s="358"/>
    </row>
    <row r="99" ht="15.6" spans="1:29">
      <c r="A99" s="555"/>
      <c r="B99" s="560"/>
      <c r="C99" s="560"/>
      <c r="D99" s="560"/>
      <c r="E99" s="555"/>
      <c r="F99" s="555"/>
      <c r="G99" s="555"/>
      <c r="H99" s="555"/>
      <c r="I99" s="555"/>
      <c r="J99" s="555"/>
      <c r="K99" s="555"/>
      <c r="L99" s="555"/>
      <c r="M99" s="555"/>
      <c r="N99" s="555"/>
      <c r="O99" s="555"/>
      <c r="P99" s="555"/>
      <c r="Q99" s="555"/>
      <c r="R99" s="555"/>
      <c r="S99" s="555"/>
      <c r="T99" s="555"/>
      <c r="U99" s="555"/>
      <c r="V99" s="555"/>
      <c r="W99" s="358"/>
      <c r="X99" s="358"/>
      <c r="Y99" s="358"/>
      <c r="Z99" s="358"/>
      <c r="AA99" s="358"/>
      <c r="AB99" s="358"/>
      <c r="AC99" s="358"/>
    </row>
    <row r="100" ht="15.6" spans="1:29">
      <c r="A100" s="555"/>
      <c r="B100" s="560"/>
      <c r="C100" s="560"/>
      <c r="D100" s="560"/>
      <c r="E100" s="555"/>
      <c r="F100" s="555"/>
      <c r="G100" s="555"/>
      <c r="H100" s="555"/>
      <c r="I100" s="555"/>
      <c r="J100" s="555"/>
      <c r="K100" s="555"/>
      <c r="L100" s="555"/>
      <c r="M100" s="555"/>
      <c r="N100" s="555"/>
      <c r="O100" s="555"/>
      <c r="P100" s="555"/>
      <c r="Q100" s="555"/>
      <c r="R100" s="555"/>
      <c r="S100" s="555"/>
      <c r="T100" s="555"/>
      <c r="U100" s="555"/>
      <c r="V100" s="555"/>
      <c r="W100" s="358"/>
      <c r="X100" s="358"/>
      <c r="Y100" s="358"/>
      <c r="Z100" s="358"/>
      <c r="AA100" s="358"/>
      <c r="AB100" s="358"/>
      <c r="AC100" s="358"/>
    </row>
    <row r="101" ht="15.6" spans="1:29">
      <c r="A101" s="555"/>
      <c r="B101" s="560"/>
      <c r="C101" s="560"/>
      <c r="D101" s="560"/>
      <c r="E101" s="555"/>
      <c r="F101" s="555"/>
      <c r="G101" s="555"/>
      <c r="H101" s="555"/>
      <c r="I101" s="555"/>
      <c r="J101" s="555"/>
      <c r="K101" s="555"/>
      <c r="L101" s="555"/>
      <c r="M101" s="555"/>
      <c r="N101" s="555"/>
      <c r="O101" s="555"/>
      <c r="P101" s="555"/>
      <c r="Q101" s="555"/>
      <c r="R101" s="555"/>
      <c r="S101" s="555"/>
      <c r="T101" s="555"/>
      <c r="U101" s="555"/>
      <c r="V101" s="555"/>
      <c r="W101" s="358"/>
      <c r="X101" s="358"/>
      <c r="Y101" s="358"/>
      <c r="Z101" s="358"/>
      <c r="AA101" s="358"/>
      <c r="AB101" s="358"/>
      <c r="AC101" s="358"/>
    </row>
    <row r="102" ht="15.6" spans="1:29">
      <c r="A102" s="555"/>
      <c r="B102" s="560"/>
      <c r="C102" s="560"/>
      <c r="D102" s="560"/>
      <c r="E102" s="555"/>
      <c r="F102" s="555"/>
      <c r="G102" s="555"/>
      <c r="H102" s="555"/>
      <c r="I102" s="555"/>
      <c r="J102" s="555"/>
      <c r="K102" s="555"/>
      <c r="L102" s="555"/>
      <c r="M102" s="555"/>
      <c r="N102" s="555"/>
      <c r="O102" s="555"/>
      <c r="P102" s="555"/>
      <c r="Q102" s="555"/>
      <c r="R102" s="555"/>
      <c r="S102" s="555"/>
      <c r="T102" s="555"/>
      <c r="U102" s="555"/>
      <c r="V102" s="555"/>
      <c r="W102" s="358"/>
      <c r="X102" s="358"/>
      <c r="Y102" s="358"/>
      <c r="Z102" s="358"/>
      <c r="AA102" s="358"/>
      <c r="AB102" s="358"/>
      <c r="AC102" s="358"/>
    </row>
    <row r="103" ht="15.6" spans="1:29">
      <c r="A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row>
    <row r="104" ht="15.6" spans="1:29">
      <c r="A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row>
    <row r="105" ht="15.6" spans="1:29">
      <c r="A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row>
    <row r="106" ht="15.6" spans="1:29">
      <c r="A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row>
    <row r="107" ht="15.6" spans="1:29">
      <c r="A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row>
    <row r="108" ht="15.6" spans="1:29">
      <c r="A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row>
    <row r="109" ht="15.6" spans="1:29">
      <c r="A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row>
    <row r="110" ht="15.6" spans="1:29">
      <c r="A110" s="364"/>
      <c r="B110" s="364"/>
      <c r="C110" s="364"/>
      <c r="D110" s="364"/>
      <c r="E110" s="565"/>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row>
    <row r="111" ht="15.6" spans="1:29">
      <c r="A111" s="364"/>
      <c r="B111" s="364"/>
      <c r="C111" s="364" t="s">
        <v>110</v>
      </c>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row>
    <row r="112" ht="15.6" spans="1:29">
      <c r="A112" s="364"/>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row>
    <row r="113" ht="15.6" spans="1:29">
      <c r="A113" s="364"/>
      <c r="B113" s="364"/>
      <c r="C113" s="364" t="s">
        <v>111</v>
      </c>
      <c r="D113" s="364"/>
      <c r="E113" s="566"/>
      <c r="F113" s="566"/>
      <c r="G113" s="566"/>
      <c r="H113" s="566"/>
      <c r="I113" s="566"/>
      <c r="J113" s="566"/>
      <c r="K113" s="566"/>
      <c r="L113" s="566"/>
      <c r="M113" s="566"/>
      <c r="N113" s="566"/>
      <c r="O113" s="589"/>
      <c r="P113" s="364"/>
      <c r="Q113" s="589"/>
      <c r="R113" s="589"/>
      <c r="S113" s="364"/>
      <c r="T113" s="364"/>
      <c r="U113" s="364"/>
      <c r="V113" s="364"/>
      <c r="W113" s="364"/>
      <c r="X113" s="364"/>
      <c r="Y113" s="364"/>
      <c r="Z113" s="364"/>
      <c r="AA113" s="364"/>
      <c r="AB113" s="364"/>
      <c r="AC113" s="364"/>
    </row>
    <row r="114" ht="16.35" spans="1:29">
      <c r="A114" s="364"/>
      <c r="B114" s="364"/>
      <c r="C114" s="364" t="s">
        <v>112</v>
      </c>
      <c r="D114" s="364"/>
      <c r="E114" s="567"/>
      <c r="F114" s="567"/>
      <c r="G114" s="567"/>
      <c r="H114" s="567"/>
      <c r="I114" s="567"/>
      <c r="J114" s="567"/>
      <c r="K114" s="590"/>
      <c r="L114" s="590"/>
      <c r="M114" s="590"/>
      <c r="N114" s="566"/>
      <c r="O114" s="589"/>
      <c r="P114" s="364"/>
      <c r="Q114" s="566"/>
      <c r="R114" s="589"/>
      <c r="S114" s="364"/>
      <c r="T114" s="364"/>
      <c r="U114" s="364"/>
      <c r="V114" s="364"/>
      <c r="W114" s="364"/>
      <c r="X114" s="364"/>
      <c r="Y114" s="364"/>
      <c r="Z114" s="364"/>
      <c r="AA114" s="364"/>
      <c r="AB114" s="364"/>
      <c r="AC114" s="364"/>
    </row>
    <row r="115" ht="16.35" spans="2:29">
      <c r="B115" s="369"/>
      <c r="C115" s="568">
        <f>E13*E14</f>
        <v>120</v>
      </c>
      <c r="D115" s="569">
        <f>1+E13+E14*0.2</f>
        <v>15</v>
      </c>
      <c r="E115" s="570" t="s">
        <v>113</v>
      </c>
      <c r="F115" s="570"/>
      <c r="G115" s="571">
        <f>1500</f>
        <v>1500</v>
      </c>
      <c r="H115" s="571">
        <v>1500</v>
      </c>
      <c r="I115" s="591">
        <v>1000</v>
      </c>
      <c r="J115" s="571">
        <v>0.5</v>
      </c>
      <c r="K115" s="592">
        <f>1200</f>
        <v>1200</v>
      </c>
      <c r="L115" s="571">
        <f>IF(H8=2,1000,3000)</f>
        <v>1000</v>
      </c>
      <c r="M115" s="593">
        <v>60</v>
      </c>
      <c r="N115" s="571">
        <v>36000</v>
      </c>
      <c r="Q115" s="364"/>
      <c r="R115" s="364"/>
      <c r="S115" s="364"/>
      <c r="T115" s="364"/>
      <c r="U115" s="364"/>
      <c r="V115" s="364"/>
      <c r="W115" s="364"/>
      <c r="X115" s="364"/>
      <c r="Y115" s="364"/>
      <c r="Z115" s="364"/>
      <c r="AA115" s="364"/>
      <c r="AB115" s="364"/>
      <c r="AC115" s="364"/>
    </row>
    <row r="116" ht="16.35" spans="1:29">
      <c r="A116" s="364"/>
      <c r="B116" s="358"/>
      <c r="C116" s="569" t="s">
        <v>114</v>
      </c>
      <c r="D116" s="572"/>
      <c r="E116" s="573" t="s">
        <v>115</v>
      </c>
      <c r="F116" s="573"/>
      <c r="G116" s="573" t="s">
        <v>116</v>
      </c>
      <c r="H116" s="573" t="s">
        <v>117</v>
      </c>
      <c r="I116" s="575" t="s">
        <v>118</v>
      </c>
      <c r="J116" s="573" t="s">
        <v>119</v>
      </c>
      <c r="K116" s="575" t="s">
        <v>73</v>
      </c>
      <c r="L116" s="573" t="s">
        <v>78</v>
      </c>
      <c r="M116" s="228" t="s">
        <v>120</v>
      </c>
      <c r="N116" s="573" t="s">
        <v>121</v>
      </c>
      <c r="P116" s="364"/>
      <c r="Q116" s="364"/>
      <c r="R116" s="364"/>
      <c r="S116" s="364"/>
      <c r="T116" s="364"/>
      <c r="U116" s="364"/>
      <c r="V116" s="364"/>
      <c r="W116" s="364"/>
      <c r="X116" s="364"/>
      <c r="Y116" s="364"/>
      <c r="Z116" s="364"/>
      <c r="AA116" s="364"/>
      <c r="AB116" s="364"/>
      <c r="AC116" s="364"/>
    </row>
    <row r="117" ht="16.35" spans="1:29">
      <c r="A117" s="364"/>
      <c r="B117" s="358"/>
      <c r="C117" s="569"/>
      <c r="D117" s="572"/>
      <c r="E117" s="573" t="s">
        <v>122</v>
      </c>
      <c r="F117" s="574" t="s">
        <v>123</v>
      </c>
      <c r="G117" s="575"/>
      <c r="H117" s="576"/>
      <c r="I117" s="575">
        <f>I115*E10/100</f>
        <v>1000</v>
      </c>
      <c r="J117" s="573">
        <f>E9*J115/100</f>
        <v>0</v>
      </c>
      <c r="K117" s="575">
        <f>K115*5.9/D115</f>
        <v>472</v>
      </c>
      <c r="L117" s="573">
        <f>E13*K117</f>
        <v>944</v>
      </c>
      <c r="M117" s="594">
        <f>M115*E11/100</f>
        <v>0</v>
      </c>
      <c r="N117" s="573">
        <f>E14*L117</f>
        <v>56640</v>
      </c>
      <c r="P117" s="364"/>
      <c r="Q117" s="364"/>
      <c r="R117" s="364"/>
      <c r="S117" s="364"/>
      <c r="T117" s="364"/>
      <c r="U117" s="364"/>
      <c r="V117" s="364"/>
      <c r="W117" s="364"/>
      <c r="X117" s="364"/>
      <c r="Y117" s="364"/>
      <c r="Z117" s="364"/>
      <c r="AA117" s="364"/>
      <c r="AB117" s="364"/>
      <c r="AC117" s="364"/>
    </row>
    <row r="118" ht="16.35" spans="1:29">
      <c r="A118" s="364"/>
      <c r="B118" s="364"/>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64"/>
      <c r="Y118" s="364"/>
      <c r="Z118" s="364"/>
      <c r="AA118" s="364"/>
      <c r="AB118" s="364"/>
      <c r="AC118" s="364"/>
    </row>
    <row r="119" ht="15.6" spans="1:29">
      <c r="A119" s="364"/>
      <c r="B119" s="577"/>
      <c r="C119" s="578" t="s">
        <v>124</v>
      </c>
      <c r="D119" s="579"/>
      <c r="E119" s="579"/>
      <c r="F119" s="579"/>
      <c r="G119" s="579"/>
      <c r="H119" s="579"/>
      <c r="I119" s="579"/>
      <c r="J119" s="579"/>
      <c r="K119" s="579"/>
      <c r="L119" s="579"/>
      <c r="M119" s="579"/>
      <c r="N119" s="579"/>
      <c r="O119" s="579"/>
      <c r="P119" s="595"/>
      <c r="Q119" s="584"/>
      <c r="R119" s="584"/>
      <c r="S119" s="364"/>
      <c r="T119" s="584"/>
      <c r="U119" s="584"/>
      <c r="V119" s="584"/>
      <c r="W119" s="364"/>
      <c r="X119" s="364"/>
      <c r="Y119" s="364"/>
      <c r="Z119" s="364"/>
      <c r="AA119" s="364"/>
      <c r="AB119" s="364"/>
      <c r="AC119" s="364"/>
    </row>
    <row r="120" ht="15.6" spans="1:29">
      <c r="A120" s="364"/>
      <c r="B120" s="577"/>
      <c r="C120" s="580"/>
      <c r="D120" s="581"/>
      <c r="E120" s="581"/>
      <c r="F120" s="581"/>
      <c r="G120" s="581"/>
      <c r="H120" s="581"/>
      <c r="I120" s="581"/>
      <c r="J120" s="581"/>
      <c r="K120" s="581"/>
      <c r="L120" s="581"/>
      <c r="M120" s="581"/>
      <c r="N120" s="581"/>
      <c r="O120" s="581"/>
      <c r="P120" s="596"/>
      <c r="Q120" s="584"/>
      <c r="R120" s="584"/>
      <c r="S120" s="364"/>
      <c r="T120" s="584"/>
      <c r="U120" s="584"/>
      <c r="V120" s="584"/>
      <c r="W120" s="364"/>
      <c r="X120" s="364"/>
      <c r="Y120" s="364"/>
      <c r="Z120" s="364"/>
      <c r="AA120" s="364"/>
      <c r="AB120" s="364"/>
      <c r="AC120" s="364"/>
    </row>
    <row r="121" ht="15.6" spans="1:29">
      <c r="A121" s="364"/>
      <c r="B121" s="577"/>
      <c r="C121" s="580"/>
      <c r="D121" s="581"/>
      <c r="E121" s="581"/>
      <c r="F121" s="581"/>
      <c r="G121" s="581"/>
      <c r="H121" s="581"/>
      <c r="I121" s="581"/>
      <c r="J121" s="581"/>
      <c r="K121" s="581"/>
      <c r="L121" s="581"/>
      <c r="M121" s="581"/>
      <c r="N121" s="581"/>
      <c r="O121" s="581"/>
      <c r="P121" s="596"/>
      <c r="Q121" s="584"/>
      <c r="R121" s="584"/>
      <c r="S121" s="364"/>
      <c r="T121" s="584"/>
      <c r="U121" s="584"/>
      <c r="V121" s="584"/>
      <c r="W121" s="364"/>
      <c r="X121" s="364"/>
      <c r="Y121" s="364"/>
      <c r="Z121" s="364"/>
      <c r="AA121" s="364"/>
      <c r="AB121" s="364"/>
      <c r="AC121" s="364"/>
    </row>
    <row r="122" ht="15.6" spans="1:29">
      <c r="A122" s="364"/>
      <c r="B122" s="577"/>
      <c r="C122" s="580"/>
      <c r="D122" s="581"/>
      <c r="E122" s="581"/>
      <c r="F122" s="581"/>
      <c r="G122" s="581"/>
      <c r="H122" s="581"/>
      <c r="I122" s="581"/>
      <c r="J122" s="581"/>
      <c r="K122" s="581"/>
      <c r="L122" s="581"/>
      <c r="M122" s="581"/>
      <c r="N122" s="581"/>
      <c r="O122" s="581"/>
      <c r="P122" s="596"/>
      <c r="Q122" s="584"/>
      <c r="R122" s="584"/>
      <c r="S122" s="364"/>
      <c r="T122" s="584"/>
      <c r="U122" s="584"/>
      <c r="V122" s="584"/>
      <c r="W122" s="364"/>
      <c r="X122" s="364"/>
      <c r="Y122" s="364"/>
      <c r="Z122" s="364"/>
      <c r="AA122" s="364"/>
      <c r="AB122" s="364"/>
      <c r="AC122" s="364"/>
    </row>
    <row r="123" ht="15.6" spans="1:29">
      <c r="A123" s="364"/>
      <c r="B123" s="577"/>
      <c r="C123" s="580"/>
      <c r="D123" s="581"/>
      <c r="E123" s="581"/>
      <c r="F123" s="581"/>
      <c r="G123" s="581"/>
      <c r="H123" s="581"/>
      <c r="I123" s="581"/>
      <c r="J123" s="581"/>
      <c r="K123" s="581"/>
      <c r="L123" s="581"/>
      <c r="M123" s="581"/>
      <c r="N123" s="581"/>
      <c r="O123" s="581"/>
      <c r="P123" s="596"/>
      <c r="Q123" s="584"/>
      <c r="R123" s="584"/>
      <c r="S123" s="364"/>
      <c r="T123" s="584"/>
      <c r="U123" s="584"/>
      <c r="V123" s="584"/>
      <c r="W123" s="364"/>
      <c r="X123" s="364"/>
      <c r="Y123" s="364"/>
      <c r="Z123" s="364"/>
      <c r="AA123" s="364"/>
      <c r="AB123" s="364"/>
      <c r="AC123" s="364"/>
    </row>
    <row r="124" ht="15.6" spans="1:29">
      <c r="A124" s="364"/>
      <c r="B124" s="577"/>
      <c r="C124" s="580"/>
      <c r="D124" s="581"/>
      <c r="E124" s="581"/>
      <c r="F124" s="581"/>
      <c r="G124" s="581"/>
      <c r="H124" s="581"/>
      <c r="I124" s="581"/>
      <c r="J124" s="581"/>
      <c r="K124" s="581"/>
      <c r="L124" s="581"/>
      <c r="M124" s="581"/>
      <c r="N124" s="581"/>
      <c r="O124" s="581"/>
      <c r="P124" s="596"/>
      <c r="Q124" s="584"/>
      <c r="R124" s="584"/>
      <c r="S124" s="364"/>
      <c r="T124" s="584"/>
      <c r="U124" s="584"/>
      <c r="V124" s="584"/>
      <c r="W124" s="364"/>
      <c r="X124" s="364"/>
      <c r="Y124" s="364"/>
      <c r="Z124" s="364"/>
      <c r="AA124" s="364"/>
      <c r="AB124" s="364"/>
      <c r="AC124" s="364"/>
    </row>
    <row r="125" ht="16.35" spans="1:29">
      <c r="A125" s="364"/>
      <c r="B125" s="577"/>
      <c r="C125" s="582"/>
      <c r="D125" s="583"/>
      <c r="E125" s="583"/>
      <c r="F125" s="583"/>
      <c r="G125" s="583"/>
      <c r="H125" s="583"/>
      <c r="I125" s="583"/>
      <c r="J125" s="583"/>
      <c r="K125" s="583"/>
      <c r="L125" s="583"/>
      <c r="M125" s="583"/>
      <c r="N125" s="583"/>
      <c r="O125" s="583"/>
      <c r="P125" s="597"/>
      <c r="Q125" s="584"/>
      <c r="R125" s="584"/>
      <c r="S125" s="364"/>
      <c r="T125" s="584"/>
      <c r="U125" s="584"/>
      <c r="V125" s="584"/>
      <c r="W125" s="364"/>
      <c r="X125" s="364"/>
      <c r="Y125" s="364"/>
      <c r="Z125" s="364"/>
      <c r="AA125" s="364"/>
      <c r="AB125" s="364"/>
      <c r="AC125" s="364"/>
    </row>
    <row r="126" ht="16.35" spans="1:29">
      <c r="A126" s="364"/>
      <c r="B126" s="584"/>
      <c r="C126" s="584"/>
      <c r="D126" s="584"/>
      <c r="E126" s="584"/>
      <c r="F126" s="584"/>
      <c r="G126" s="584"/>
      <c r="H126" s="584"/>
      <c r="I126" s="584"/>
      <c r="J126" s="584"/>
      <c r="K126" s="584"/>
      <c r="L126" s="584"/>
      <c r="M126" s="584"/>
      <c r="N126" s="584"/>
      <c r="O126" s="584"/>
      <c r="P126" s="584"/>
      <c r="Q126" s="584"/>
      <c r="R126" s="584"/>
      <c r="S126" s="364"/>
      <c r="T126" s="584"/>
      <c r="U126" s="584"/>
      <c r="V126" s="584"/>
      <c r="W126" s="364"/>
      <c r="X126" s="364"/>
      <c r="Y126" s="364"/>
      <c r="Z126" s="364"/>
      <c r="AA126" s="364"/>
      <c r="AB126" s="364"/>
      <c r="AC126" s="364"/>
    </row>
    <row r="127" ht="15.6" spans="1:29">
      <c r="A127" s="364"/>
      <c r="B127" s="584"/>
      <c r="C127" s="585" t="s">
        <v>125</v>
      </c>
      <c r="D127" s="586"/>
      <c r="E127" s="586"/>
      <c r="F127" s="586"/>
      <c r="G127" s="586"/>
      <c r="H127" s="586"/>
      <c r="I127" s="586"/>
      <c r="J127" s="586"/>
      <c r="K127" s="586"/>
      <c r="L127" s="586"/>
      <c r="M127" s="586"/>
      <c r="N127" s="586"/>
      <c r="O127" s="586"/>
      <c r="P127" s="598"/>
      <c r="Q127" s="584"/>
      <c r="R127" s="584"/>
      <c r="S127" s="364"/>
      <c r="T127" s="584"/>
      <c r="U127" s="584"/>
      <c r="V127" s="584"/>
      <c r="W127" s="364"/>
      <c r="X127" s="364"/>
      <c r="Y127" s="364"/>
      <c r="Z127" s="364"/>
      <c r="AA127" s="364"/>
      <c r="AB127" s="364"/>
      <c r="AC127" s="364"/>
    </row>
    <row r="128" ht="15.6" spans="1:29">
      <c r="A128" s="364"/>
      <c r="B128" s="584"/>
      <c r="C128" s="587"/>
      <c r="D128" s="584"/>
      <c r="E128" s="584"/>
      <c r="F128" s="584"/>
      <c r="G128" s="584"/>
      <c r="H128" s="584"/>
      <c r="I128" s="584"/>
      <c r="J128" s="584"/>
      <c r="K128" s="584"/>
      <c r="L128" s="584"/>
      <c r="M128" s="584"/>
      <c r="N128" s="584"/>
      <c r="O128" s="584"/>
      <c r="P128" s="599"/>
      <c r="Q128" s="584"/>
      <c r="R128" s="584"/>
      <c r="S128" s="364"/>
      <c r="T128" s="584"/>
      <c r="U128" s="584"/>
      <c r="V128" s="584"/>
      <c r="W128" s="364"/>
      <c r="X128" s="364"/>
      <c r="Y128" s="364"/>
      <c r="Z128" s="364"/>
      <c r="AA128" s="364"/>
      <c r="AB128" s="364"/>
      <c r="AC128" s="364"/>
    </row>
    <row r="129" ht="15.6" spans="1:29">
      <c r="A129" s="364"/>
      <c r="B129" s="584"/>
      <c r="C129" s="587"/>
      <c r="D129" s="584"/>
      <c r="E129" s="584"/>
      <c r="F129" s="584"/>
      <c r="G129" s="584"/>
      <c r="H129" s="584"/>
      <c r="I129" s="584"/>
      <c r="J129" s="584"/>
      <c r="K129" s="584"/>
      <c r="L129" s="584"/>
      <c r="M129" s="584"/>
      <c r="N129" s="584"/>
      <c r="O129" s="584"/>
      <c r="P129" s="599"/>
      <c r="Q129" s="584"/>
      <c r="R129" s="584"/>
      <c r="S129" s="364"/>
      <c r="T129" s="584"/>
      <c r="U129" s="584"/>
      <c r="V129" s="584"/>
      <c r="W129" s="364"/>
      <c r="X129" s="364"/>
      <c r="Y129" s="364"/>
      <c r="Z129" s="364"/>
      <c r="AA129" s="364"/>
      <c r="AB129" s="364"/>
      <c r="AC129" s="364"/>
    </row>
    <row r="130" ht="15.6" spans="1:29">
      <c r="A130" s="364"/>
      <c r="B130" s="584"/>
      <c r="C130" s="587"/>
      <c r="D130" s="584"/>
      <c r="E130" s="584"/>
      <c r="F130" s="584"/>
      <c r="G130" s="584"/>
      <c r="H130" s="584"/>
      <c r="I130" s="584"/>
      <c r="J130" s="584"/>
      <c r="K130" s="584"/>
      <c r="L130" s="584"/>
      <c r="M130" s="584"/>
      <c r="N130" s="584"/>
      <c r="O130" s="584"/>
      <c r="P130" s="599"/>
      <c r="Q130" s="364"/>
      <c r="R130" s="364"/>
      <c r="S130" s="364"/>
      <c r="T130" s="364"/>
      <c r="U130" s="364"/>
      <c r="V130" s="364"/>
      <c r="W130" s="364"/>
      <c r="X130" s="364"/>
      <c r="Y130" s="364"/>
      <c r="Z130" s="364"/>
      <c r="AA130" s="364"/>
      <c r="AB130" s="364"/>
      <c r="AC130" s="364"/>
    </row>
    <row r="131" ht="16.35" spans="1:29">
      <c r="A131" s="364"/>
      <c r="B131" s="584"/>
      <c r="C131" s="603"/>
      <c r="D131" s="604"/>
      <c r="E131" s="604"/>
      <c r="F131" s="604"/>
      <c r="G131" s="604"/>
      <c r="H131" s="604"/>
      <c r="I131" s="604"/>
      <c r="J131" s="604"/>
      <c r="K131" s="604"/>
      <c r="L131" s="604"/>
      <c r="M131" s="604"/>
      <c r="N131" s="604"/>
      <c r="O131" s="604"/>
      <c r="P131" s="616"/>
      <c r="Q131" s="364"/>
      <c r="R131" s="364"/>
      <c r="S131" s="364"/>
      <c r="T131" s="364"/>
      <c r="U131" s="364"/>
      <c r="V131" s="364"/>
      <c r="W131" s="364"/>
      <c r="X131" s="364"/>
      <c r="Y131" s="364"/>
      <c r="Z131" s="364"/>
      <c r="AA131" s="364"/>
      <c r="AB131" s="364"/>
      <c r="AC131" s="364"/>
    </row>
    <row r="132" ht="16.35" spans="1:29">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row>
    <row r="133" ht="15.6" spans="1:29">
      <c r="A133" s="364"/>
      <c r="B133" s="605"/>
      <c r="C133" s="606" t="s">
        <v>126</v>
      </c>
      <c r="D133" s="607"/>
      <c r="E133" s="607"/>
      <c r="F133" s="607"/>
      <c r="G133" s="607"/>
      <c r="H133" s="607"/>
      <c r="I133" s="607"/>
      <c r="J133" s="607"/>
      <c r="K133" s="607"/>
      <c r="L133" s="607"/>
      <c r="M133" s="607"/>
      <c r="N133" s="607"/>
      <c r="O133" s="607"/>
      <c r="P133" s="617"/>
      <c r="Q133" s="364"/>
      <c r="R133" s="364"/>
      <c r="S133" s="364"/>
      <c r="T133" s="364"/>
      <c r="U133" s="364"/>
      <c r="V133" s="364"/>
      <c r="W133" s="364"/>
      <c r="X133" s="364"/>
      <c r="Y133" s="364"/>
      <c r="Z133" s="364"/>
      <c r="AA133" s="364"/>
      <c r="AB133" s="364"/>
      <c r="AC133" s="364"/>
    </row>
    <row r="134" ht="15.6" spans="1:29">
      <c r="A134" s="364"/>
      <c r="B134" s="605"/>
      <c r="C134" s="608" t="s">
        <v>127</v>
      </c>
      <c r="D134" s="605"/>
      <c r="E134" s="605"/>
      <c r="F134" s="605"/>
      <c r="G134" s="605"/>
      <c r="H134" s="605"/>
      <c r="I134" s="605"/>
      <c r="J134" s="605"/>
      <c r="K134" s="605"/>
      <c r="L134" s="605"/>
      <c r="M134" s="605"/>
      <c r="N134" s="605"/>
      <c r="O134" s="605"/>
      <c r="P134" s="618"/>
      <c r="Q134" s="364"/>
      <c r="R134" s="364"/>
      <c r="S134" s="364"/>
      <c r="T134" s="364"/>
      <c r="U134" s="364"/>
      <c r="V134" s="364"/>
      <c r="W134" s="364"/>
      <c r="X134" s="364"/>
      <c r="Y134" s="364"/>
      <c r="Z134" s="364"/>
      <c r="AA134" s="364"/>
      <c r="AB134" s="364"/>
      <c r="AC134" s="364"/>
    </row>
    <row r="135" ht="15.6" spans="1:29">
      <c r="A135" s="364"/>
      <c r="B135" s="605"/>
      <c r="C135" s="608" t="s">
        <v>128</v>
      </c>
      <c r="D135" s="605"/>
      <c r="E135" s="605"/>
      <c r="F135" s="605"/>
      <c r="G135" s="605"/>
      <c r="H135" s="605"/>
      <c r="I135" s="605"/>
      <c r="J135" s="605"/>
      <c r="K135" s="605"/>
      <c r="L135" s="605"/>
      <c r="M135" s="605"/>
      <c r="N135" s="605"/>
      <c r="O135" s="605"/>
      <c r="P135" s="618"/>
      <c r="Q135" s="364"/>
      <c r="R135" s="364"/>
      <c r="S135" s="364"/>
      <c r="T135" s="364"/>
      <c r="U135" s="364"/>
      <c r="V135" s="364"/>
      <c r="W135" s="364"/>
      <c r="X135" s="364"/>
      <c r="Y135" s="364"/>
      <c r="Z135" s="364"/>
      <c r="AA135" s="364"/>
      <c r="AB135" s="364"/>
      <c r="AC135" s="364"/>
    </row>
    <row r="136" ht="15.6" spans="1:29">
      <c r="A136" s="364"/>
      <c r="B136" s="609"/>
      <c r="C136" s="610" t="s">
        <v>129</v>
      </c>
      <c r="D136" s="605"/>
      <c r="E136" s="605"/>
      <c r="F136" s="605"/>
      <c r="G136" s="605"/>
      <c r="H136" s="605"/>
      <c r="I136" s="605"/>
      <c r="J136" s="605"/>
      <c r="K136" s="605"/>
      <c r="L136" s="605"/>
      <c r="M136" s="605"/>
      <c r="N136" s="605"/>
      <c r="O136" s="605"/>
      <c r="P136" s="618"/>
      <c r="Q136" s="364"/>
      <c r="R136" s="364"/>
      <c r="S136" s="364"/>
      <c r="T136" s="364"/>
      <c r="U136" s="364"/>
      <c r="V136" s="364"/>
      <c r="W136" s="364"/>
      <c r="X136" s="364"/>
      <c r="Y136" s="364"/>
      <c r="Z136" s="364"/>
      <c r="AA136" s="364"/>
      <c r="AB136" s="364"/>
      <c r="AC136" s="364"/>
    </row>
    <row r="137" ht="15.6" spans="1:29">
      <c r="A137" s="364"/>
      <c r="B137" s="605"/>
      <c r="C137" s="608" t="s">
        <v>130</v>
      </c>
      <c r="D137" s="605"/>
      <c r="E137" s="605"/>
      <c r="F137" s="605"/>
      <c r="G137" s="605"/>
      <c r="H137" s="605"/>
      <c r="I137" s="605"/>
      <c r="J137" s="605"/>
      <c r="K137" s="605"/>
      <c r="L137" s="605"/>
      <c r="M137" s="605"/>
      <c r="N137" s="605"/>
      <c r="O137" s="605"/>
      <c r="P137" s="618"/>
      <c r="Q137" s="364"/>
      <c r="R137" s="364"/>
      <c r="S137" s="364"/>
      <c r="T137" s="364"/>
      <c r="U137" s="364"/>
      <c r="V137" s="364"/>
      <c r="W137" s="364"/>
      <c r="X137" s="364"/>
      <c r="Y137" s="364"/>
      <c r="Z137" s="364"/>
      <c r="AA137" s="364"/>
      <c r="AB137" s="364"/>
      <c r="AC137" s="364"/>
    </row>
    <row r="138" ht="15.6" spans="1:29">
      <c r="A138" s="364"/>
      <c r="B138" s="605"/>
      <c r="C138" s="608" t="s">
        <v>131</v>
      </c>
      <c r="D138" s="605"/>
      <c r="E138" s="605"/>
      <c r="F138" s="605"/>
      <c r="G138" s="605"/>
      <c r="H138" s="605"/>
      <c r="I138" s="605"/>
      <c r="J138" s="605"/>
      <c r="K138" s="605"/>
      <c r="L138" s="605"/>
      <c r="M138" s="605"/>
      <c r="N138" s="605"/>
      <c r="O138" s="605"/>
      <c r="P138" s="618"/>
      <c r="Q138" s="364"/>
      <c r="R138" s="364"/>
      <c r="S138" s="364"/>
      <c r="T138" s="364"/>
      <c r="U138" s="364"/>
      <c r="V138" s="364"/>
      <c r="W138" s="364"/>
      <c r="X138" s="364"/>
      <c r="Y138" s="364"/>
      <c r="Z138" s="364"/>
      <c r="AA138" s="364"/>
      <c r="AB138" s="364"/>
      <c r="AC138" s="364"/>
    </row>
    <row r="139" ht="15.6" spans="1:29">
      <c r="A139" s="364"/>
      <c r="B139" s="605"/>
      <c r="C139" s="608" t="s">
        <v>132</v>
      </c>
      <c r="D139" s="605"/>
      <c r="E139" s="605"/>
      <c r="F139" s="605"/>
      <c r="G139" s="605"/>
      <c r="H139" s="605"/>
      <c r="I139" s="605"/>
      <c r="J139" s="605"/>
      <c r="K139" s="605"/>
      <c r="L139" s="605"/>
      <c r="M139" s="605"/>
      <c r="N139" s="605"/>
      <c r="O139" s="605"/>
      <c r="P139" s="618"/>
      <c r="Q139" s="364"/>
      <c r="R139" s="364"/>
      <c r="S139" s="364"/>
      <c r="T139" s="364"/>
      <c r="U139" s="364"/>
      <c r="V139" s="364"/>
      <c r="W139" s="364"/>
      <c r="X139" s="364"/>
      <c r="Y139" s="364"/>
      <c r="Z139" s="364"/>
      <c r="AA139" s="364"/>
      <c r="AB139" s="364"/>
      <c r="AC139" s="364"/>
    </row>
    <row r="140" ht="15.6" spans="1:29">
      <c r="A140" s="364"/>
      <c r="B140" s="605"/>
      <c r="C140" s="608" t="s">
        <v>133</v>
      </c>
      <c r="D140" s="605"/>
      <c r="E140" s="605"/>
      <c r="F140" s="605"/>
      <c r="G140" s="605"/>
      <c r="H140" s="605"/>
      <c r="I140" s="605"/>
      <c r="J140" s="605"/>
      <c r="K140" s="605"/>
      <c r="L140" s="605"/>
      <c r="M140" s="605"/>
      <c r="N140" s="605"/>
      <c r="O140" s="605"/>
      <c r="P140" s="618"/>
      <c r="Q140" s="364"/>
      <c r="R140" s="364"/>
      <c r="S140" s="364"/>
      <c r="T140" s="364"/>
      <c r="U140" s="364"/>
      <c r="V140" s="364"/>
      <c r="W140" s="364"/>
      <c r="X140" s="364"/>
      <c r="Y140" s="364"/>
      <c r="Z140" s="364"/>
      <c r="AA140" s="364"/>
      <c r="AB140" s="364"/>
      <c r="AC140" s="364"/>
    </row>
    <row r="141" ht="15.6" spans="1:29">
      <c r="A141" s="364"/>
      <c r="B141" s="605"/>
      <c r="C141" s="608" t="s">
        <v>134</v>
      </c>
      <c r="D141" s="605"/>
      <c r="E141" s="605"/>
      <c r="F141" s="605"/>
      <c r="G141" s="605"/>
      <c r="H141" s="605"/>
      <c r="I141" s="605"/>
      <c r="J141" s="605"/>
      <c r="K141" s="605"/>
      <c r="L141" s="605"/>
      <c r="M141" s="605"/>
      <c r="N141" s="605"/>
      <c r="O141" s="605"/>
      <c r="P141" s="618"/>
      <c r="Q141" s="364"/>
      <c r="R141" s="364"/>
      <c r="S141" s="364"/>
      <c r="T141" s="364"/>
      <c r="U141" s="364"/>
      <c r="V141" s="364"/>
      <c r="W141" s="364"/>
      <c r="X141" s="364"/>
      <c r="Y141" s="364"/>
      <c r="Z141" s="364"/>
      <c r="AA141" s="364"/>
      <c r="AB141" s="364"/>
      <c r="AC141" s="364"/>
    </row>
    <row r="142" ht="15.6" spans="1:29">
      <c r="A142" s="364"/>
      <c r="B142" s="605"/>
      <c r="C142" s="608" t="s">
        <v>135</v>
      </c>
      <c r="D142" s="605"/>
      <c r="E142" s="605"/>
      <c r="F142" s="605"/>
      <c r="G142" s="605"/>
      <c r="H142" s="605"/>
      <c r="I142" s="605"/>
      <c r="J142" s="605"/>
      <c r="K142" s="605"/>
      <c r="L142" s="605"/>
      <c r="M142" s="605"/>
      <c r="N142" s="605"/>
      <c r="O142" s="605"/>
      <c r="P142" s="618"/>
      <c r="Q142" s="364"/>
      <c r="R142" s="364"/>
      <c r="S142" s="364"/>
      <c r="T142" s="364"/>
      <c r="U142" s="364"/>
      <c r="V142" s="364"/>
      <c r="W142" s="364"/>
      <c r="X142" s="364"/>
      <c r="Y142" s="364"/>
      <c r="Z142" s="364"/>
      <c r="AA142" s="364"/>
      <c r="AB142" s="364"/>
      <c r="AC142" s="364"/>
    </row>
    <row r="143" ht="15.6" spans="1:29">
      <c r="A143" s="364"/>
      <c r="B143" s="605"/>
      <c r="C143" s="608" t="s">
        <v>136</v>
      </c>
      <c r="D143" s="605"/>
      <c r="E143" s="605"/>
      <c r="F143" s="605"/>
      <c r="G143" s="605"/>
      <c r="H143" s="605"/>
      <c r="I143" s="605"/>
      <c r="J143" s="605"/>
      <c r="K143" s="605"/>
      <c r="L143" s="605"/>
      <c r="M143" s="605"/>
      <c r="N143" s="605"/>
      <c r="O143" s="605"/>
      <c r="P143" s="618"/>
      <c r="Q143" s="364"/>
      <c r="R143" s="364"/>
      <c r="S143" s="364"/>
      <c r="T143" s="364"/>
      <c r="U143" s="364"/>
      <c r="V143" s="364"/>
      <c r="W143" s="364"/>
      <c r="X143" s="364"/>
      <c r="Y143" s="364"/>
      <c r="Z143" s="364"/>
      <c r="AA143" s="364"/>
      <c r="AB143" s="364"/>
      <c r="AC143" s="364"/>
    </row>
    <row r="144" ht="15.6" spans="1:29">
      <c r="A144" s="364"/>
      <c r="B144" s="605"/>
      <c r="C144" s="608" t="s">
        <v>137</v>
      </c>
      <c r="D144" s="605"/>
      <c r="E144" s="605"/>
      <c r="F144" s="605"/>
      <c r="G144" s="605"/>
      <c r="H144" s="605"/>
      <c r="I144" s="605"/>
      <c r="J144" s="605"/>
      <c r="K144" s="605"/>
      <c r="L144" s="605"/>
      <c r="M144" s="605"/>
      <c r="N144" s="605"/>
      <c r="O144" s="605"/>
      <c r="P144" s="618"/>
      <c r="Q144" s="364"/>
      <c r="R144" s="364"/>
      <c r="S144" s="364"/>
      <c r="T144" s="364"/>
      <c r="U144" s="364"/>
      <c r="V144" s="364"/>
      <c r="W144" s="364"/>
      <c r="X144" s="364"/>
      <c r="Y144" s="364"/>
      <c r="Z144" s="364"/>
      <c r="AA144" s="364"/>
      <c r="AB144" s="364"/>
      <c r="AC144" s="364"/>
    </row>
    <row r="145" ht="15.6" spans="1:29">
      <c r="A145" s="364"/>
      <c r="B145" s="605"/>
      <c r="C145" s="608" t="s">
        <v>138</v>
      </c>
      <c r="D145" s="605"/>
      <c r="E145" s="605"/>
      <c r="F145" s="605"/>
      <c r="G145" s="605"/>
      <c r="H145" s="605"/>
      <c r="I145" s="605"/>
      <c r="J145" s="605"/>
      <c r="K145" s="605"/>
      <c r="L145" s="605"/>
      <c r="M145" s="605"/>
      <c r="N145" s="605"/>
      <c r="O145" s="605"/>
      <c r="P145" s="618"/>
      <c r="Q145" s="364"/>
      <c r="R145" s="364"/>
      <c r="S145" s="364"/>
      <c r="T145" s="364"/>
      <c r="U145" s="364"/>
      <c r="V145" s="364"/>
      <c r="W145" s="364"/>
      <c r="X145" s="364"/>
      <c r="Y145" s="364"/>
      <c r="Z145" s="364"/>
      <c r="AA145" s="364"/>
      <c r="AB145" s="364"/>
      <c r="AC145" s="364"/>
    </row>
    <row r="146" ht="15.6" spans="1:29">
      <c r="A146" s="364"/>
      <c r="B146" s="605"/>
      <c r="C146" s="608" t="s">
        <v>139</v>
      </c>
      <c r="D146" s="605"/>
      <c r="E146" s="605"/>
      <c r="F146" s="605"/>
      <c r="G146" s="605"/>
      <c r="H146" s="605"/>
      <c r="I146" s="605"/>
      <c r="J146" s="605"/>
      <c r="K146" s="605"/>
      <c r="L146" s="605"/>
      <c r="M146" s="605"/>
      <c r="N146" s="605"/>
      <c r="O146" s="605"/>
      <c r="P146" s="618"/>
      <c r="Q146" s="364"/>
      <c r="R146" s="364"/>
      <c r="S146" s="364"/>
      <c r="T146" s="364"/>
      <c r="U146" s="364"/>
      <c r="V146" s="364"/>
      <c r="W146" s="364"/>
      <c r="X146" s="364"/>
      <c r="Y146" s="364"/>
      <c r="Z146" s="364"/>
      <c r="AA146" s="364"/>
      <c r="AB146" s="364"/>
      <c r="AC146" s="364"/>
    </row>
    <row r="147" ht="15.6" spans="1:29">
      <c r="A147" s="364"/>
      <c r="B147" s="605"/>
      <c r="C147" s="608" t="s">
        <v>140</v>
      </c>
      <c r="D147" s="605"/>
      <c r="E147" s="605"/>
      <c r="F147" s="605"/>
      <c r="G147" s="605"/>
      <c r="H147" s="605"/>
      <c r="I147" s="605"/>
      <c r="J147" s="605"/>
      <c r="K147" s="605"/>
      <c r="L147" s="605"/>
      <c r="M147" s="605"/>
      <c r="N147" s="605"/>
      <c r="O147" s="605"/>
      <c r="P147" s="618"/>
      <c r="Q147" s="364"/>
      <c r="R147" s="364"/>
      <c r="S147" s="364"/>
      <c r="T147" s="364"/>
      <c r="U147" s="364"/>
      <c r="V147" s="364"/>
      <c r="W147" s="364"/>
      <c r="X147" s="364"/>
      <c r="Y147" s="364"/>
      <c r="Z147" s="364"/>
      <c r="AA147" s="364"/>
      <c r="AB147" s="364"/>
      <c r="AC147" s="364"/>
    </row>
    <row r="148" ht="15.6" spans="1:29">
      <c r="A148" s="364"/>
      <c r="B148" s="611"/>
      <c r="C148" s="612" t="s">
        <v>141</v>
      </c>
      <c r="D148" s="611"/>
      <c r="E148" s="611"/>
      <c r="F148" s="611"/>
      <c r="G148" s="611"/>
      <c r="H148" s="611"/>
      <c r="I148" s="611"/>
      <c r="J148" s="611"/>
      <c r="K148" s="611"/>
      <c r="L148" s="611"/>
      <c r="M148" s="611"/>
      <c r="N148" s="611"/>
      <c r="O148" s="611"/>
      <c r="P148" s="619"/>
      <c r="Q148" s="364"/>
      <c r="R148" s="364"/>
      <c r="S148" s="364"/>
      <c r="T148" s="364"/>
      <c r="U148" s="364"/>
      <c r="V148" s="364"/>
      <c r="W148" s="364"/>
      <c r="X148" s="364"/>
      <c r="Y148" s="364"/>
      <c r="Z148" s="364"/>
      <c r="AA148" s="364"/>
      <c r="AB148" s="364"/>
      <c r="AC148" s="364"/>
    </row>
    <row r="149" ht="15.6" spans="1:29">
      <c r="A149" s="364"/>
      <c r="B149" s="611"/>
      <c r="C149" s="612" t="s">
        <v>142</v>
      </c>
      <c r="D149" s="611"/>
      <c r="E149" s="611"/>
      <c r="F149" s="611"/>
      <c r="G149" s="611"/>
      <c r="H149" s="611"/>
      <c r="I149" s="611"/>
      <c r="J149" s="611"/>
      <c r="K149" s="611"/>
      <c r="L149" s="611"/>
      <c r="M149" s="611"/>
      <c r="N149" s="611"/>
      <c r="O149" s="611"/>
      <c r="P149" s="619"/>
      <c r="Q149" s="364"/>
      <c r="R149" s="364"/>
      <c r="S149" s="364"/>
      <c r="T149" s="364"/>
      <c r="U149" s="364"/>
      <c r="V149" s="364"/>
      <c r="W149" s="364"/>
      <c r="X149" s="364"/>
      <c r="Y149" s="364"/>
      <c r="Z149" s="364"/>
      <c r="AA149" s="364"/>
      <c r="AB149" s="364"/>
      <c r="AC149" s="364"/>
    </row>
    <row r="150" ht="15.6" spans="1:29">
      <c r="A150" s="364"/>
      <c r="B150" s="611"/>
      <c r="C150" s="612" t="s">
        <v>143</v>
      </c>
      <c r="D150" s="611"/>
      <c r="E150" s="611"/>
      <c r="F150" s="611"/>
      <c r="G150" s="611"/>
      <c r="H150" s="611"/>
      <c r="I150" s="611"/>
      <c r="J150" s="611"/>
      <c r="K150" s="611"/>
      <c r="L150" s="611"/>
      <c r="M150" s="611"/>
      <c r="N150" s="611"/>
      <c r="O150" s="611"/>
      <c r="P150" s="619"/>
      <c r="Q150" s="364"/>
      <c r="R150" s="364"/>
      <c r="S150" s="364"/>
      <c r="T150" s="364"/>
      <c r="U150" s="364"/>
      <c r="V150" s="364"/>
      <c r="W150" s="364"/>
      <c r="X150" s="364"/>
      <c r="Y150" s="364"/>
      <c r="Z150" s="364"/>
      <c r="AA150" s="364"/>
      <c r="AB150" s="364"/>
      <c r="AC150" s="364"/>
    </row>
    <row r="151" ht="15.6" spans="1:29">
      <c r="A151" s="364"/>
      <c r="B151" s="611"/>
      <c r="C151" s="612" t="s">
        <v>144</v>
      </c>
      <c r="D151" s="611"/>
      <c r="E151" s="611"/>
      <c r="F151" s="611"/>
      <c r="G151" s="611"/>
      <c r="H151" s="611"/>
      <c r="I151" s="611"/>
      <c r="J151" s="611"/>
      <c r="K151" s="611"/>
      <c r="L151" s="611"/>
      <c r="M151" s="611"/>
      <c r="N151" s="611"/>
      <c r="O151" s="611"/>
      <c r="P151" s="619"/>
      <c r="Q151" s="364"/>
      <c r="R151" s="364"/>
      <c r="S151" s="364"/>
      <c r="T151" s="364"/>
      <c r="U151" s="364"/>
      <c r="V151" s="364"/>
      <c r="W151" s="364"/>
      <c r="X151" s="364"/>
      <c r="Y151" s="364"/>
      <c r="Z151" s="364"/>
      <c r="AA151" s="364"/>
      <c r="AB151" s="364"/>
      <c r="AC151" s="364"/>
    </row>
    <row r="152" ht="15.6" spans="1:29">
      <c r="A152" s="364"/>
      <c r="B152" s="611"/>
      <c r="C152" s="612" t="s">
        <v>145</v>
      </c>
      <c r="D152" s="611"/>
      <c r="E152" s="611"/>
      <c r="F152" s="611"/>
      <c r="G152" s="611"/>
      <c r="H152" s="611"/>
      <c r="I152" s="611"/>
      <c r="J152" s="611"/>
      <c r="K152" s="611"/>
      <c r="L152" s="611"/>
      <c r="M152" s="611"/>
      <c r="N152" s="611"/>
      <c r="O152" s="611"/>
      <c r="P152" s="619"/>
      <c r="Q152" s="364"/>
      <c r="R152" s="364"/>
      <c r="S152" s="364"/>
      <c r="T152" s="364"/>
      <c r="U152" s="364"/>
      <c r="V152" s="364"/>
      <c r="W152" s="364"/>
      <c r="X152" s="364"/>
      <c r="Y152" s="364"/>
      <c r="Z152" s="364"/>
      <c r="AA152" s="364"/>
      <c r="AB152" s="364"/>
      <c r="AC152" s="364"/>
    </row>
    <row r="153" spans="2:16">
      <c r="B153" s="613"/>
      <c r="C153" s="610" t="s">
        <v>146</v>
      </c>
      <c r="D153" s="613"/>
      <c r="E153" s="613"/>
      <c r="F153" s="613"/>
      <c r="G153" s="613"/>
      <c r="H153" s="613"/>
      <c r="I153" s="613"/>
      <c r="J153" s="613"/>
      <c r="K153" s="613"/>
      <c r="L153" s="613"/>
      <c r="M153" s="613"/>
      <c r="N153" s="613"/>
      <c r="O153" s="613"/>
      <c r="P153" s="620"/>
    </row>
    <row r="154" spans="2:16">
      <c r="B154" s="613"/>
      <c r="C154" s="610" t="s">
        <v>147</v>
      </c>
      <c r="D154" s="613"/>
      <c r="E154" s="613"/>
      <c r="F154" s="613"/>
      <c r="G154" s="613"/>
      <c r="H154" s="613"/>
      <c r="I154" s="613"/>
      <c r="J154" s="613"/>
      <c r="K154" s="613"/>
      <c r="L154" s="613"/>
      <c r="M154" s="613"/>
      <c r="N154" s="613"/>
      <c r="O154" s="613"/>
      <c r="P154" s="620"/>
    </row>
    <row r="155" spans="2:16">
      <c r="B155" s="613"/>
      <c r="C155" s="610" t="s">
        <v>148</v>
      </c>
      <c r="D155" s="613"/>
      <c r="E155" s="613"/>
      <c r="F155" s="613"/>
      <c r="G155" s="613"/>
      <c r="H155" s="613"/>
      <c r="I155" s="613"/>
      <c r="J155" s="613"/>
      <c r="K155" s="613"/>
      <c r="L155" s="613"/>
      <c r="M155" s="613"/>
      <c r="N155" s="613"/>
      <c r="O155" s="613"/>
      <c r="P155" s="620"/>
    </row>
    <row r="156" spans="2:16">
      <c r="B156" s="613"/>
      <c r="C156" s="610" t="s">
        <v>149</v>
      </c>
      <c r="D156" s="613"/>
      <c r="E156" s="613"/>
      <c r="F156" s="613"/>
      <c r="G156" s="613"/>
      <c r="H156" s="613"/>
      <c r="I156" s="613"/>
      <c r="J156" s="613"/>
      <c r="K156" s="613"/>
      <c r="L156" s="613"/>
      <c r="M156" s="613"/>
      <c r="N156" s="613"/>
      <c r="O156" s="613"/>
      <c r="P156" s="620"/>
    </row>
    <row r="157" spans="2:16">
      <c r="B157" s="613"/>
      <c r="C157" s="610" t="s">
        <v>150</v>
      </c>
      <c r="D157" s="613"/>
      <c r="E157" s="613"/>
      <c r="F157" s="613"/>
      <c r="G157" s="613"/>
      <c r="H157" s="613"/>
      <c r="I157" s="613"/>
      <c r="J157" s="613"/>
      <c r="K157" s="613"/>
      <c r="L157" s="613"/>
      <c r="M157" s="613"/>
      <c r="N157" s="613"/>
      <c r="O157" s="613"/>
      <c r="P157" s="620"/>
    </row>
    <row r="158" spans="2:16">
      <c r="B158" s="613"/>
      <c r="C158" s="610" t="s">
        <v>151</v>
      </c>
      <c r="D158" s="613"/>
      <c r="E158" s="613"/>
      <c r="F158" s="613"/>
      <c r="G158" s="613"/>
      <c r="H158" s="613"/>
      <c r="I158" s="613"/>
      <c r="J158" s="613"/>
      <c r="K158" s="613"/>
      <c r="L158" s="613"/>
      <c r="M158" s="613"/>
      <c r="N158" s="613"/>
      <c r="O158" s="613"/>
      <c r="P158" s="620"/>
    </row>
    <row r="159" spans="2:16">
      <c r="B159" s="613"/>
      <c r="C159" s="610" t="s">
        <v>152</v>
      </c>
      <c r="D159" s="613"/>
      <c r="E159" s="613"/>
      <c r="F159" s="613"/>
      <c r="G159" s="613"/>
      <c r="H159" s="613"/>
      <c r="I159" s="613"/>
      <c r="J159" s="613"/>
      <c r="K159" s="613"/>
      <c r="L159" s="613"/>
      <c r="M159" s="613"/>
      <c r="N159" s="613"/>
      <c r="O159" s="613"/>
      <c r="P159" s="620"/>
    </row>
    <row r="160" spans="2:16">
      <c r="B160" s="613"/>
      <c r="C160" s="610" t="s">
        <v>153</v>
      </c>
      <c r="D160" s="613"/>
      <c r="E160" s="613"/>
      <c r="F160" s="613"/>
      <c r="G160" s="613"/>
      <c r="H160" s="613"/>
      <c r="I160" s="613"/>
      <c r="J160" s="613"/>
      <c r="K160" s="613"/>
      <c r="L160" s="613"/>
      <c r="M160" s="613"/>
      <c r="N160" s="613"/>
      <c r="O160" s="613"/>
      <c r="P160" s="620"/>
    </row>
    <row r="161" spans="2:16">
      <c r="B161" s="613"/>
      <c r="C161" s="610" t="s">
        <v>154</v>
      </c>
      <c r="D161" s="613"/>
      <c r="E161" s="613"/>
      <c r="F161" s="613"/>
      <c r="G161" s="613"/>
      <c r="H161" s="613"/>
      <c r="I161" s="613"/>
      <c r="J161" s="613"/>
      <c r="K161" s="613"/>
      <c r="L161" s="613"/>
      <c r="M161" s="613"/>
      <c r="N161" s="613"/>
      <c r="O161" s="613"/>
      <c r="P161" s="620"/>
    </row>
    <row r="162" spans="2:16">
      <c r="B162" s="613"/>
      <c r="C162" s="610" t="s">
        <v>155</v>
      </c>
      <c r="D162" s="613"/>
      <c r="E162" s="613"/>
      <c r="F162" s="613"/>
      <c r="G162" s="613"/>
      <c r="H162" s="613"/>
      <c r="I162" s="613"/>
      <c r="J162" s="613"/>
      <c r="K162" s="613"/>
      <c r="L162" s="613"/>
      <c r="M162" s="613"/>
      <c r="N162" s="613"/>
      <c r="O162" s="613"/>
      <c r="P162" s="620"/>
    </row>
    <row r="163" spans="2:16">
      <c r="B163" s="613"/>
      <c r="C163" s="610" t="s">
        <v>156</v>
      </c>
      <c r="D163" s="613"/>
      <c r="E163" s="613"/>
      <c r="F163" s="613"/>
      <c r="G163" s="613"/>
      <c r="H163" s="613"/>
      <c r="I163" s="613"/>
      <c r="J163" s="613"/>
      <c r="K163" s="613"/>
      <c r="L163" s="613"/>
      <c r="M163" s="613"/>
      <c r="N163" s="613"/>
      <c r="O163" s="613"/>
      <c r="P163" s="620"/>
    </row>
    <row r="164" ht="15.15" spans="2:16">
      <c r="B164" s="613"/>
      <c r="C164" s="614"/>
      <c r="D164" s="615"/>
      <c r="E164" s="615"/>
      <c r="F164" s="615"/>
      <c r="G164" s="615"/>
      <c r="H164" s="615"/>
      <c r="I164" s="615"/>
      <c r="J164" s="615"/>
      <c r="K164" s="615"/>
      <c r="L164" s="615"/>
      <c r="M164" s="615"/>
      <c r="N164" s="615"/>
      <c r="O164" s="615"/>
      <c r="P164" s="621"/>
    </row>
  </sheetData>
  <mergeCells count="119">
    <mergeCell ref="D5:F5"/>
    <mergeCell ref="G5:J5"/>
    <mergeCell ref="K5:N5"/>
    <mergeCell ref="C6:D6"/>
    <mergeCell ref="F6:G6"/>
    <mergeCell ref="I6:N6"/>
    <mergeCell ref="O6:P6"/>
    <mergeCell ref="Q6:R6"/>
    <mergeCell ref="C7:D7"/>
    <mergeCell ref="F7:G7"/>
    <mergeCell ref="O7:R7"/>
    <mergeCell ref="C8:D8"/>
    <mergeCell ref="F8:G8"/>
    <mergeCell ref="I8:K8"/>
    <mergeCell ref="M8:R8"/>
    <mergeCell ref="C9:D9"/>
    <mergeCell ref="F9:R9"/>
    <mergeCell ref="C10:D10"/>
    <mergeCell ref="F10:R10"/>
    <mergeCell ref="C11:D11"/>
    <mergeCell ref="F11:R11"/>
    <mergeCell ref="C12:D12"/>
    <mergeCell ref="G12:R12"/>
    <mergeCell ref="C13:D13"/>
    <mergeCell ref="G13:I13"/>
    <mergeCell ref="L13:R13"/>
    <mergeCell ref="C14:D14"/>
    <mergeCell ref="G14:H14"/>
    <mergeCell ref="L14:M14"/>
    <mergeCell ref="C15:D15"/>
    <mergeCell ref="E15:F15"/>
    <mergeCell ref="G15:H15"/>
    <mergeCell ref="I15:J15"/>
    <mergeCell ref="K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Q17"/>
    <mergeCell ref="C18:D18"/>
    <mergeCell ref="E18:F18"/>
    <mergeCell ref="G18:H18"/>
    <mergeCell ref="I18:J18"/>
    <mergeCell ref="K18:L18"/>
    <mergeCell ref="M18:N18"/>
    <mergeCell ref="O18:Q18"/>
    <mergeCell ref="E19:F19"/>
    <mergeCell ref="I19:J19"/>
    <mergeCell ref="N19:O19"/>
    <mergeCell ref="E20:F20"/>
    <mergeCell ref="I20:J20"/>
    <mergeCell ref="N20:O20"/>
    <mergeCell ref="E21:F21"/>
    <mergeCell ref="I21:J21"/>
    <mergeCell ref="N21:O21"/>
    <mergeCell ref="E22:F22"/>
    <mergeCell ref="I22:J22"/>
    <mergeCell ref="N22:O22"/>
    <mergeCell ref="E23:F23"/>
    <mergeCell ref="I23:J23"/>
    <mergeCell ref="N23:O23"/>
    <mergeCell ref="E24:F24"/>
    <mergeCell ref="I24:J24"/>
    <mergeCell ref="N24:O24"/>
    <mergeCell ref="E25:F25"/>
    <mergeCell ref="I25:J25"/>
    <mergeCell ref="N25:O25"/>
    <mergeCell ref="E26:F26"/>
    <mergeCell ref="I26:J26"/>
    <mergeCell ref="N26:O26"/>
    <mergeCell ref="E27:F27"/>
    <mergeCell ref="I27:J27"/>
    <mergeCell ref="N27:O27"/>
    <mergeCell ref="E28:F28"/>
    <mergeCell ref="I28:J28"/>
    <mergeCell ref="N28:O28"/>
    <mergeCell ref="E29:F29"/>
    <mergeCell ref="I29:J29"/>
    <mergeCell ref="N29:O29"/>
    <mergeCell ref="E30:F30"/>
    <mergeCell ref="I30:J30"/>
    <mergeCell ref="N30:O30"/>
    <mergeCell ref="E31:F31"/>
    <mergeCell ref="I31:J31"/>
    <mergeCell ref="N31:O31"/>
    <mergeCell ref="E32:F32"/>
    <mergeCell ref="I32:J32"/>
    <mergeCell ref="N32:O32"/>
    <mergeCell ref="C33:I33"/>
    <mergeCell ref="J33:Q33"/>
    <mergeCell ref="C49:I49"/>
    <mergeCell ref="J49:Q49"/>
    <mergeCell ref="F117:H117"/>
    <mergeCell ref="B6:B14"/>
    <mergeCell ref="B15:B18"/>
    <mergeCell ref="B19:B32"/>
    <mergeCell ref="B33:B98"/>
    <mergeCell ref="C19:C32"/>
    <mergeCell ref="L19:L32"/>
    <mergeCell ref="F2:O3"/>
    <mergeCell ref="C1:D2"/>
    <mergeCell ref="R2:T3"/>
    <mergeCell ref="S6:T14"/>
    <mergeCell ref="C34:I48"/>
    <mergeCell ref="J34:Q48"/>
    <mergeCell ref="J50:Q65"/>
    <mergeCell ref="C119:P125"/>
    <mergeCell ref="C127:P131"/>
    <mergeCell ref="R15:S16"/>
  </mergeCells>
  <conditionalFormatting sqref="E6">
    <cfRule type="expression" dxfId="0" priority="6">
      <formula>($E$6-$H$6)^2&gt;0.0001</formula>
    </cfRule>
  </conditionalFormatting>
  <conditionalFormatting sqref="E7">
    <cfRule type="expression" dxfId="0" priority="5">
      <formula>($E$7-$H$7)^2&gt;0.0001</formula>
    </cfRule>
  </conditionalFormatting>
  <conditionalFormatting sqref="E8">
    <cfRule type="expression" dxfId="0" priority="4">
      <formula>$E$8&gt;3</formula>
    </cfRule>
  </conditionalFormatting>
  <conditionalFormatting sqref="H8">
    <cfRule type="expression" dxfId="0" priority="3">
      <formula>$H$8&gt;2</formula>
    </cfRule>
  </conditionalFormatting>
  <conditionalFormatting sqref="L8">
    <cfRule type="expression" dxfId="0" priority="2">
      <formula>$L$8&gt;11</formula>
    </cfRule>
  </conditionalFormatting>
  <conditionalFormatting sqref="R15">
    <cfRule type="expression" dxfId="1" priority="8">
      <formula>数据表!$C$38+数据表!$C$44</formula>
    </cfRule>
  </conditionalFormatting>
  <conditionalFormatting sqref="D20:G20">
    <cfRule type="expression" dxfId="2" priority="66">
      <formula>$D$20&gt;$I$14</formula>
    </cfRule>
  </conditionalFormatting>
  <conditionalFormatting sqref="H20:K20">
    <cfRule type="expression" dxfId="2" priority="67">
      <formula>$H$20&gt;$I$14</formula>
    </cfRule>
  </conditionalFormatting>
  <conditionalFormatting sqref="M20:P20">
    <cfRule type="expression" dxfId="2" priority="42">
      <formula>$M$20&gt;$N$14</formula>
    </cfRule>
  </conditionalFormatting>
  <conditionalFormatting sqref="Q20:S20">
    <cfRule type="expression" dxfId="2" priority="28">
      <formula>$Q$20&gt;$N$14</formula>
    </cfRule>
  </conditionalFormatting>
  <conditionalFormatting sqref="D21:G21">
    <cfRule type="expression" dxfId="2" priority="65">
      <formula>$D$21&gt;$I$14</formula>
    </cfRule>
  </conditionalFormatting>
  <conditionalFormatting sqref="H21:K21">
    <cfRule type="expression" dxfId="2" priority="68">
      <formula>$H$21&gt;$I$14</formula>
    </cfRule>
  </conditionalFormatting>
  <conditionalFormatting sqref="M21:P21">
    <cfRule type="expression" dxfId="2" priority="41">
      <formula>$M$21&gt;$N$14</formula>
    </cfRule>
  </conditionalFormatting>
  <conditionalFormatting sqref="Q21:S21">
    <cfRule type="expression" dxfId="2" priority="27">
      <formula>$Q$21&gt;$N$14</formula>
    </cfRule>
  </conditionalFormatting>
  <conditionalFormatting sqref="D22:G22">
    <cfRule type="expression" dxfId="2" priority="64">
      <formula>$D$22&gt;$I$14</formula>
    </cfRule>
  </conditionalFormatting>
  <conditionalFormatting sqref="H22:K22">
    <cfRule type="expression" dxfId="2" priority="53">
      <formula>$H$22&gt;$I$14</formula>
    </cfRule>
  </conditionalFormatting>
  <conditionalFormatting sqref="M22:P22">
    <cfRule type="expression" dxfId="2" priority="40">
      <formula>$M$22&gt;$N$14</formula>
    </cfRule>
  </conditionalFormatting>
  <conditionalFormatting sqref="Q22:S22">
    <cfRule type="expression" dxfId="2" priority="26">
      <formula>$Q$22&gt;$N$14</formula>
    </cfRule>
  </conditionalFormatting>
  <conditionalFormatting sqref="D23:G23">
    <cfRule type="expression" dxfId="2" priority="63">
      <formula>$D$23&gt;$I$14</formula>
    </cfRule>
  </conditionalFormatting>
  <conditionalFormatting sqref="H23:K23">
    <cfRule type="expression" dxfId="2" priority="52">
      <formula>$H$23&gt;$I$14</formula>
    </cfRule>
  </conditionalFormatting>
  <conditionalFormatting sqref="M23:P23">
    <cfRule type="expression" dxfId="2" priority="39">
      <formula>$M$23&gt;$N$14</formula>
    </cfRule>
  </conditionalFormatting>
  <conditionalFormatting sqref="Q23:S23">
    <cfRule type="expression" dxfId="2" priority="18">
      <formula>$Q$23&gt;$N$14</formula>
    </cfRule>
  </conditionalFormatting>
  <conditionalFormatting sqref="D24:G24">
    <cfRule type="expression" dxfId="2" priority="62">
      <formula>$D$24&gt;$I$14</formula>
    </cfRule>
  </conditionalFormatting>
  <conditionalFormatting sqref="H24:K24">
    <cfRule type="expression" dxfId="2" priority="51">
      <formula>$H$24&gt;$I$14</formula>
    </cfRule>
  </conditionalFormatting>
  <conditionalFormatting sqref="M24:P24">
    <cfRule type="expression" dxfId="2" priority="38">
      <formula>$M$24&gt;$N$14</formula>
    </cfRule>
  </conditionalFormatting>
  <conditionalFormatting sqref="Q24:S24">
    <cfRule type="expression" dxfId="2" priority="17">
      <formula>$Q$24&gt;$N$14</formula>
    </cfRule>
  </conditionalFormatting>
  <conditionalFormatting sqref="D25:G25">
    <cfRule type="expression" dxfId="2" priority="61">
      <formula>$D$25&gt;$I$14</formula>
    </cfRule>
  </conditionalFormatting>
  <conditionalFormatting sqref="H25:K25">
    <cfRule type="expression" dxfId="2" priority="50">
      <formula>$H$25&gt;$I$14</formula>
    </cfRule>
  </conditionalFormatting>
  <conditionalFormatting sqref="M25:P25">
    <cfRule type="expression" dxfId="2" priority="37">
      <formula>$M$25&gt;$N$14</formula>
    </cfRule>
  </conditionalFormatting>
  <conditionalFormatting sqref="Q25:S25">
    <cfRule type="expression" dxfId="2" priority="16">
      <formula>$Q$25&gt;$N$14</formula>
    </cfRule>
  </conditionalFormatting>
  <conditionalFormatting sqref="D26:G26">
    <cfRule type="expression" dxfId="2" priority="60">
      <formula>$D$26&gt;$I$14</formula>
    </cfRule>
  </conditionalFormatting>
  <conditionalFormatting sqref="H26:K26">
    <cfRule type="expression" dxfId="2" priority="49">
      <formula>$H$26&gt;$I$14</formula>
    </cfRule>
  </conditionalFormatting>
  <conditionalFormatting sqref="M26:P26">
    <cfRule type="expression" dxfId="2" priority="36">
      <formula>$M$26&gt;$N$14</formula>
    </cfRule>
  </conditionalFormatting>
  <conditionalFormatting sqref="Q26:S26">
    <cfRule type="expression" dxfId="2" priority="15">
      <formula>$Q$26&gt;$N$14</formula>
    </cfRule>
  </conditionalFormatting>
  <conditionalFormatting sqref="D27:G27">
    <cfRule type="expression" dxfId="2" priority="59">
      <formula>$D$27&gt;$I$14</formula>
    </cfRule>
  </conditionalFormatting>
  <conditionalFormatting sqref="H27:K27">
    <cfRule type="expression" dxfId="2" priority="48">
      <formula>$H$27&gt;$I$14</formula>
    </cfRule>
  </conditionalFormatting>
  <conditionalFormatting sqref="M27:P27">
    <cfRule type="expression" dxfId="2" priority="35">
      <formula>$M$27&gt;$N$14</formula>
    </cfRule>
  </conditionalFormatting>
  <conditionalFormatting sqref="Q27:S27">
    <cfRule type="expression" dxfId="2" priority="14">
      <formula>$Q$27&gt;$N$14</formula>
    </cfRule>
  </conditionalFormatting>
  <conditionalFormatting sqref="D28:G28">
    <cfRule type="expression" dxfId="2" priority="58">
      <formula>$D$28&gt;$I$14</formula>
    </cfRule>
  </conditionalFormatting>
  <conditionalFormatting sqref="H28:K28">
    <cfRule type="expression" dxfId="2" priority="47">
      <formula>$H$28&gt;$I$14</formula>
    </cfRule>
  </conditionalFormatting>
  <conditionalFormatting sqref="M28:P28">
    <cfRule type="expression" dxfId="2" priority="33">
      <formula>$M$29&gt;$N$14</formula>
    </cfRule>
    <cfRule type="expression" dxfId="2" priority="34">
      <formula>$M$28&gt;$N$14</formula>
    </cfRule>
  </conditionalFormatting>
  <conditionalFormatting sqref="Q28:S28">
    <cfRule type="expression" dxfId="2" priority="13">
      <formula>$Q$28&gt;$N$14</formula>
    </cfRule>
  </conditionalFormatting>
  <conditionalFormatting sqref="D29:G29">
    <cfRule type="expression" dxfId="2" priority="57">
      <formula>$D$29&gt;$I$14</formula>
    </cfRule>
  </conditionalFormatting>
  <conditionalFormatting sqref="H29:K29">
    <cfRule type="expression" dxfId="2" priority="46">
      <formula>$H$29&gt;$I$14</formula>
    </cfRule>
  </conditionalFormatting>
  <conditionalFormatting sqref="M29:P29">
    <cfRule type="expression" dxfId="2" priority="32">
      <formula>$M$29&gt;$N$14</formula>
    </cfRule>
  </conditionalFormatting>
  <conditionalFormatting sqref="Q29:S29">
    <cfRule type="expression" dxfId="2" priority="12">
      <formula>$Q$29&gt;$N$14</formula>
    </cfRule>
  </conditionalFormatting>
  <conditionalFormatting sqref="D30:G30">
    <cfRule type="expression" dxfId="2" priority="56">
      <formula>$D$30&gt;$I$14</formula>
    </cfRule>
  </conditionalFormatting>
  <conditionalFormatting sqref="H30:K30">
    <cfRule type="expression" dxfId="2" priority="45">
      <formula>$H$30&gt;$I$14</formula>
    </cfRule>
  </conditionalFormatting>
  <conditionalFormatting sqref="M30:P30">
    <cfRule type="expression" dxfId="2" priority="31">
      <formula>$M$30&gt;$N$14</formula>
    </cfRule>
  </conditionalFormatting>
  <conditionalFormatting sqref="Q30:S30">
    <cfRule type="expression" dxfId="2" priority="11">
      <formula>$Q$30&gt;$N$14</formula>
    </cfRule>
  </conditionalFormatting>
  <conditionalFormatting sqref="D31:G31">
    <cfRule type="expression" dxfId="2" priority="55">
      <formula>$D$31&gt;$I$14</formula>
    </cfRule>
  </conditionalFormatting>
  <conditionalFormatting sqref="H31:K31">
    <cfRule type="expression" dxfId="2" priority="44">
      <formula>$H$31&gt;$I$14</formula>
    </cfRule>
  </conditionalFormatting>
  <conditionalFormatting sqref="M31:P31">
    <cfRule type="expression" dxfId="2" priority="30">
      <formula>$M$31&gt;$N$14</formula>
    </cfRule>
  </conditionalFormatting>
  <conditionalFormatting sqref="Q31:S31">
    <cfRule type="expression" dxfId="2" priority="10">
      <formula>$Q$31&gt;$N$14</formula>
    </cfRule>
  </conditionalFormatting>
  <conditionalFormatting sqref="D32:G32">
    <cfRule type="expression" dxfId="2" priority="54">
      <formula>$D$32&gt;$I$14</formula>
    </cfRule>
  </conditionalFormatting>
  <conditionalFormatting sqref="H32:K32">
    <cfRule type="expression" dxfId="2" priority="43">
      <formula>$H$32&gt;$I$14</formula>
    </cfRule>
  </conditionalFormatting>
  <conditionalFormatting sqref="M32:P32">
    <cfRule type="expression" dxfId="2" priority="29">
      <formula>$M$32&gt;$N$14</formula>
    </cfRule>
  </conditionalFormatting>
  <conditionalFormatting sqref="Q32:S32">
    <cfRule type="expression" dxfId="2" priority="9">
      <formula>$Q$32&gt;$N$14</formula>
    </cfRule>
  </conditionalFormatting>
  <dataValidations count="1">
    <dataValidation type="list" allowBlank="1" showInputMessage="1" showErrorMessage="1" sqref="K15:N15">
      <formula1>数据表!$D$46:$D$47</formula1>
    </dataValidation>
  </dataValidations>
  <hyperlinks>
    <hyperlink ref="R2:T3" location="当前时间项目推荐!A11" display="确定自身倾向后，可以查看当前时间的最优策略"/>
    <hyperlink ref="C1" location="表格使用说明!A1" display="查看表格使用说明"/>
    <hyperlink ref="S6:T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workbookViewId="0">
      <selection activeCell="C8" sqref="C8"/>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9">
      <c r="A1" s="257"/>
      <c r="B1" s="257"/>
      <c r="C1" s="257"/>
      <c r="D1" s="257"/>
      <c r="E1" s="257"/>
      <c r="F1" s="257"/>
      <c r="G1" s="257"/>
      <c r="H1" s="257"/>
      <c r="I1" s="257"/>
      <c r="J1" s="257"/>
      <c r="K1" s="257"/>
      <c r="L1" s="257"/>
      <c r="M1" s="257"/>
      <c r="N1" s="257"/>
      <c r="O1" s="257"/>
      <c r="P1" s="257"/>
      <c r="Q1" s="257"/>
      <c r="R1" s="257"/>
      <c r="S1" s="257"/>
    </row>
    <row r="2" ht="15.15" spans="1:19">
      <c r="A2" s="257"/>
      <c r="B2" s="257"/>
      <c r="C2" s="257"/>
      <c r="D2" s="257"/>
      <c r="E2" s="317" t="s">
        <v>157</v>
      </c>
      <c r="F2" s="318" t="s">
        <v>158</v>
      </c>
      <c r="G2" s="319" t="s">
        <v>157</v>
      </c>
      <c r="H2" s="260" t="s">
        <v>158</v>
      </c>
      <c r="I2" s="257"/>
      <c r="J2" s="257"/>
      <c r="K2" s="257"/>
      <c r="L2" s="257"/>
      <c r="M2" s="257"/>
      <c r="N2" s="257"/>
      <c r="O2" s="257"/>
      <c r="P2" s="257"/>
      <c r="Q2" s="257"/>
      <c r="R2" s="257"/>
      <c r="S2" s="257"/>
    </row>
    <row r="3" spans="1:19">
      <c r="A3" s="257"/>
      <c r="B3" s="257"/>
      <c r="C3" s="257"/>
      <c r="D3" s="257"/>
      <c r="E3" s="264">
        <v>1</v>
      </c>
      <c r="F3" s="320" t="str">
        <f ca="1">VLOOKUP(1,当前时间策略!Q3:R29,2,0)</f>
        <v>舰装解析0.5h</v>
      </c>
      <c r="G3" s="264">
        <v>15</v>
      </c>
      <c r="H3" s="321" t="str">
        <f ca="1">VLOOKUP(15,当前时间策略!Q3:R29,2,0)</f>
        <v>资金募集2.5h</v>
      </c>
      <c r="I3" s="257"/>
      <c r="J3" s="257"/>
      <c r="K3" s="257"/>
      <c r="L3" s="257"/>
      <c r="M3" s="257"/>
      <c r="N3" s="257"/>
      <c r="O3" s="257"/>
      <c r="P3" s="257"/>
      <c r="Q3" s="257"/>
      <c r="R3" s="257"/>
      <c r="S3" s="257"/>
    </row>
    <row r="4" spans="1:19">
      <c r="A4" s="257"/>
      <c r="B4" s="257"/>
      <c r="C4" s="257"/>
      <c r="D4" s="257"/>
      <c r="E4" s="269">
        <v>2</v>
      </c>
      <c r="F4" s="322" t="str">
        <f ca="1">VLOOKUP(2,当前时间策略!Q3:R29,2,0)</f>
        <v>彩船定向0.5h</v>
      </c>
      <c r="G4" s="269">
        <v>16</v>
      </c>
      <c r="H4" s="323" t="str">
        <f ca="1">VLOOKUP(16,当前时间策略!Q3:R29,2,0)</f>
        <v>金数据收集4h</v>
      </c>
      <c r="I4" s="257"/>
      <c r="J4" s="257"/>
      <c r="K4" s="257"/>
      <c r="L4" s="257"/>
      <c r="M4" s="257"/>
      <c r="N4" s="257"/>
      <c r="O4" s="257"/>
      <c r="P4" s="257"/>
      <c r="Q4" s="257"/>
      <c r="R4" s="257"/>
      <c r="S4" s="257"/>
    </row>
    <row r="5" spans="1:19">
      <c r="A5" s="257"/>
      <c r="B5" s="257"/>
      <c r="C5" s="257"/>
      <c r="D5" s="257"/>
      <c r="E5" s="269">
        <v>3</v>
      </c>
      <c r="F5" s="322" t="str">
        <f ca="1">VLOOKUP(3,当前时间策略!Q3:R29,2,0)</f>
        <v>金船定向0.5h</v>
      </c>
      <c r="G5" s="269">
        <v>17</v>
      </c>
      <c r="H5" s="323" t="str">
        <f ca="1">VLOOKUP(17,当前时间策略!Q3:R29,2,0)</f>
        <v>魔方解析1h</v>
      </c>
      <c r="I5" s="257"/>
      <c r="J5" s="257"/>
      <c r="K5" s="257"/>
      <c r="L5" s="257"/>
      <c r="M5" s="257"/>
      <c r="N5" s="257"/>
      <c r="O5" s="257"/>
      <c r="P5" s="257"/>
      <c r="Q5" s="257"/>
      <c r="R5" s="257"/>
      <c r="S5" s="257"/>
    </row>
    <row r="6" spans="1:19">
      <c r="A6" s="257"/>
      <c r="B6" s="257"/>
      <c r="C6" s="257"/>
      <c r="D6" s="257"/>
      <c r="E6" s="269">
        <v>4</v>
      </c>
      <c r="F6" s="322" t="str">
        <f ca="1">VLOOKUP(4,当前时间策略!Q3:R29,2,0)</f>
        <v>舰装解析4h</v>
      </c>
      <c r="G6" s="269">
        <v>18</v>
      </c>
      <c r="H6" s="323" t="str">
        <f ca="1">VLOOKUP(18,当前时间策略!Q3:R29,2,0)</f>
        <v>研究委托3h</v>
      </c>
      <c r="I6" s="257"/>
      <c r="J6" s="257"/>
      <c r="K6" s="257"/>
      <c r="L6" s="257"/>
      <c r="M6" s="257"/>
      <c r="N6" s="257"/>
      <c r="O6" s="257"/>
      <c r="P6" s="257"/>
      <c r="Q6" s="257"/>
      <c r="R6" s="257"/>
      <c r="S6" s="257"/>
    </row>
    <row r="7" spans="1:19">
      <c r="A7" s="257"/>
      <c r="B7" s="257"/>
      <c r="C7" s="257"/>
      <c r="D7" s="257"/>
      <c r="E7" s="269">
        <v>5</v>
      </c>
      <c r="F7" s="322" t="str">
        <f ca="1">VLOOKUP(5,当前时间策略!Q3:R29,2,0)</f>
        <v>舰装解析1h</v>
      </c>
      <c r="G7" s="269">
        <v>19</v>
      </c>
      <c r="H7" s="323" t="str">
        <f ca="1">VLOOKUP(19,当前时间策略!Q3:R29,2,0)</f>
        <v>彩船定向5h</v>
      </c>
      <c r="I7" s="257"/>
      <c r="J7" s="257"/>
      <c r="K7" s="257"/>
      <c r="L7" s="257"/>
      <c r="M7" s="257"/>
      <c r="N7" s="257"/>
      <c r="O7" s="257"/>
      <c r="P7" s="257"/>
      <c r="Q7" s="257"/>
      <c r="R7" s="257"/>
      <c r="S7" s="257"/>
    </row>
    <row r="8" ht="15.15" spans="1:19">
      <c r="A8" s="257"/>
      <c r="B8" s="257"/>
      <c r="C8" s="257"/>
      <c r="D8" s="257"/>
      <c r="E8" s="269">
        <v>6</v>
      </c>
      <c r="F8" s="322" t="str">
        <f ca="1">VLOOKUP(6,当前时间策略!Q3:R29,2,0)</f>
        <v>舰装解析2h</v>
      </c>
      <c r="G8" s="269">
        <v>20</v>
      </c>
      <c r="H8" s="323" t="str">
        <f ca="1">VLOOKUP(20,当前时间策略!Q3:R29,2,0)</f>
        <v>金船定向5h</v>
      </c>
      <c r="I8" s="257"/>
      <c r="J8" s="257"/>
      <c r="K8" s="257"/>
      <c r="L8" s="257"/>
      <c r="M8" s="257"/>
      <c r="N8" s="257"/>
      <c r="O8" s="257"/>
      <c r="P8" s="257"/>
      <c r="Q8" s="257"/>
      <c r="R8" s="257"/>
      <c r="S8" s="257"/>
    </row>
    <row r="9" spans="1:19">
      <c r="A9" s="257"/>
      <c r="B9" s="324" t="str">
        <f ca="1">IF(数据表!K39=0,"这个点了咋还没睡","当前时间")</f>
        <v>当前时间</v>
      </c>
      <c r="C9" s="325"/>
      <c r="D9" s="325"/>
      <c r="E9" s="269">
        <v>7</v>
      </c>
      <c r="F9" s="322" t="str">
        <f ca="1">VLOOKUP(7,当前时间策略!Q3:R29,2,0)</f>
        <v>资金募集1.5h</v>
      </c>
      <c r="G9" s="269">
        <v>21</v>
      </c>
      <c r="H9" s="323" t="str">
        <f ca="1">VLOOKUP(21,当前时间策略!Q3:R29,2,0)</f>
        <v>基础研究6h</v>
      </c>
      <c r="I9" s="257"/>
      <c r="J9" s="257"/>
      <c r="K9" s="257"/>
      <c r="L9" s="257"/>
      <c r="M9" s="257"/>
      <c r="N9" s="257"/>
      <c r="O9" s="257"/>
      <c r="P9" s="257"/>
      <c r="Q9" s="257"/>
      <c r="R9" s="257"/>
      <c r="S9" s="257"/>
    </row>
    <row r="10" ht="15.15" spans="1:19">
      <c r="A10" s="257"/>
      <c r="B10" s="326"/>
      <c r="C10" s="327"/>
      <c r="D10" s="327"/>
      <c r="E10" s="269">
        <v>8</v>
      </c>
      <c r="F10" s="322" t="str">
        <f ca="1">VLOOKUP(8,当前时间策略!Q3:R29,2,0)</f>
        <v>资金募集4h</v>
      </c>
      <c r="G10" s="269">
        <v>22</v>
      </c>
      <c r="H10" s="323" t="str">
        <f ca="1">VLOOKUP(22,当前时间策略!Q3:R29,2,0)</f>
        <v>彩船定向8h</v>
      </c>
      <c r="I10" s="257"/>
      <c r="J10" s="257"/>
      <c r="K10" s="257"/>
      <c r="L10" s="257"/>
      <c r="M10" s="257"/>
      <c r="N10" s="257"/>
      <c r="O10" s="257"/>
      <c r="P10" s="257"/>
      <c r="Q10" s="257"/>
      <c r="R10" s="257"/>
      <c r="S10" s="257"/>
    </row>
    <row r="11" ht="15" customHeight="1" spans="1:19">
      <c r="A11" s="257"/>
      <c r="B11" s="328">
        <f ca="1">NOW()</f>
        <v>44726.4110069444</v>
      </c>
      <c r="C11" s="329"/>
      <c r="D11" s="329"/>
      <c r="E11" s="269">
        <v>9</v>
      </c>
      <c r="F11" s="322" t="str">
        <f ca="1">VLOOKUP(9,当前时间策略!Q3:R29,2,0)</f>
        <v>23期舰装解析1h</v>
      </c>
      <c r="G11" s="269">
        <v>23</v>
      </c>
      <c r="H11" s="323" t="str">
        <f ca="1">VLOOKUP(23,当前时间策略!Q3:R29,2,0)</f>
        <v>金船定向8h</v>
      </c>
      <c r="I11" s="257"/>
      <c r="J11" s="257"/>
      <c r="K11" s="257"/>
      <c r="L11" s="257"/>
      <c r="M11" s="257"/>
      <c r="N11" s="257"/>
      <c r="O11" s="257"/>
      <c r="P11" s="257"/>
      <c r="Q11" s="257"/>
      <c r="R11" s="257"/>
      <c r="S11" s="257"/>
    </row>
    <row r="12" ht="15.6" spans="1:19">
      <c r="A12" s="257"/>
      <c r="B12" s="330"/>
      <c r="C12" s="331"/>
      <c r="D12" s="331"/>
      <c r="E12" s="332">
        <v>10</v>
      </c>
      <c r="F12" s="322" t="str">
        <f ca="1">VLOOKUP(10,当前时间策略!Q3:R29,2,0)</f>
        <v>试验品募集2h紫</v>
      </c>
      <c r="G12" s="269">
        <v>24</v>
      </c>
      <c r="H12" s="323" t="str">
        <f ca="1">VLOOKUP(24,当前时间策略!Q3:R29,2,0)</f>
        <v>魔方解析2h</v>
      </c>
      <c r="I12" s="257"/>
      <c r="J12" s="257"/>
      <c r="K12" s="257"/>
      <c r="L12" s="257"/>
      <c r="M12" s="257"/>
      <c r="N12" s="257"/>
      <c r="O12" s="257"/>
      <c r="P12" s="257"/>
      <c r="Q12" s="257"/>
      <c r="R12" s="257"/>
      <c r="S12" s="257"/>
    </row>
    <row r="13" ht="15" customHeight="1" spans="1:19">
      <c r="A13" s="257"/>
      <c r="B13" s="330"/>
      <c r="C13" s="331"/>
      <c r="D13" s="331"/>
      <c r="E13" s="269">
        <v>11</v>
      </c>
      <c r="F13" s="322" t="str">
        <f ca="1">VLOOKUP(11,当前时间策略!Q3:R29,2,0)</f>
        <v>彩船定向2.5h</v>
      </c>
      <c r="G13" s="269">
        <v>25</v>
      </c>
      <c r="H13" s="323" t="str">
        <f ca="1">VLOOKUP(25,当前时间策略!Q3:R29,2,0)</f>
        <v>基础研究8h</v>
      </c>
      <c r="I13" s="257"/>
      <c r="J13" s="257"/>
      <c r="K13" s="257"/>
      <c r="L13" s="257"/>
      <c r="M13" s="257"/>
      <c r="N13" s="257"/>
      <c r="O13" s="257"/>
      <c r="P13" s="257"/>
      <c r="Q13" s="257"/>
      <c r="R13" s="257"/>
      <c r="S13" s="257"/>
    </row>
    <row r="14" ht="15.15" spans="1:19">
      <c r="A14" s="257"/>
      <c r="B14" s="333"/>
      <c r="C14" s="334"/>
      <c r="D14" s="334"/>
      <c r="E14" s="269">
        <v>12</v>
      </c>
      <c r="F14" s="322" t="str">
        <f ca="1">VLOOKUP(12,当前时间策略!Q3:R29,2,0)</f>
        <v>心智补全0.5h</v>
      </c>
      <c r="G14" s="269">
        <v>26</v>
      </c>
      <c r="H14" s="323" t="str">
        <f ca="1">VLOOKUP(26,当前时间策略!Q3:R29,2,0)</f>
        <v>魔方解析4h</v>
      </c>
      <c r="I14" s="257"/>
      <c r="J14" s="257"/>
      <c r="K14" s="257"/>
      <c r="L14" s="257"/>
      <c r="M14" s="257"/>
      <c r="N14" s="257"/>
      <c r="O14" s="257"/>
      <c r="P14" s="257"/>
      <c r="Q14" s="257"/>
      <c r="R14" s="257"/>
      <c r="S14" s="257"/>
    </row>
    <row r="15" ht="16" customHeight="1" spans="1:19">
      <c r="A15" s="257"/>
      <c r="B15" s="335" t="s">
        <v>159</v>
      </c>
      <c r="C15" s="336">
        <f ca="1">当前时间策略!K39</f>
        <v>13</v>
      </c>
      <c r="D15" s="257" t="s">
        <v>160</v>
      </c>
      <c r="E15" s="269">
        <v>13</v>
      </c>
      <c r="F15" s="322" t="str">
        <f ca="1">VLOOKUP(13,当前时间策略!Q3:R29,2,0)</f>
        <v>试验品募集2h蓝</v>
      </c>
      <c r="G15" s="269">
        <v>27</v>
      </c>
      <c r="H15" s="323" t="str">
        <f ca="1">VLOOKUP(27,当前时间策略!Q3:R29,2,0)</f>
        <v>基础研究12h</v>
      </c>
      <c r="I15" s="257"/>
      <c r="J15" s="257"/>
      <c r="K15" s="257"/>
      <c r="L15" s="257"/>
      <c r="M15" s="257"/>
      <c r="N15" s="257"/>
      <c r="O15" s="257"/>
      <c r="P15" s="257"/>
      <c r="Q15" s="257"/>
      <c r="R15" s="257"/>
      <c r="S15" s="257"/>
    </row>
    <row r="16" ht="15" customHeight="1" spans="1:19">
      <c r="A16" s="257"/>
      <c r="B16" s="337" t="s">
        <v>161</v>
      </c>
      <c r="C16" s="338">
        <v>1.99305555555556</v>
      </c>
      <c r="D16" s="337" t="s">
        <v>162</v>
      </c>
      <c r="E16" s="279">
        <v>14</v>
      </c>
      <c r="F16" s="339" t="str">
        <f ca="1">VLOOKUP(14,当前时间策略!Q3:R29,2,0)</f>
        <v>金船定向2.5h</v>
      </c>
      <c r="G16" s="279"/>
      <c r="H16" s="340"/>
      <c r="I16" s="257"/>
      <c r="J16" s="257"/>
      <c r="K16" s="257"/>
      <c r="L16" s="257"/>
      <c r="M16" s="257"/>
      <c r="N16" s="257"/>
      <c r="O16" s="257"/>
      <c r="P16" s="257"/>
      <c r="Q16" s="257"/>
      <c r="R16" s="257"/>
      <c r="S16" s="257"/>
    </row>
    <row r="17" spans="1:19">
      <c r="A17" s="257"/>
      <c r="B17" s="341" t="s">
        <v>163</v>
      </c>
      <c r="C17" s="342"/>
      <c r="D17" s="342"/>
      <c r="E17" s="343"/>
      <c r="F17" s="344" t="s">
        <v>164</v>
      </c>
      <c r="G17" s="345"/>
      <c r="H17" s="257"/>
      <c r="I17" s="257"/>
      <c r="J17" s="257"/>
      <c r="K17" s="257"/>
      <c r="L17" s="257"/>
      <c r="M17" s="257"/>
      <c r="N17" s="257"/>
      <c r="O17" s="257"/>
      <c r="P17" s="257"/>
      <c r="Q17" s="257"/>
      <c r="R17" s="257"/>
      <c r="S17" s="257"/>
    </row>
    <row r="18" ht="15.15" spans="1:19">
      <c r="A18" s="257"/>
      <c r="B18" s="341"/>
      <c r="C18" s="342"/>
      <c r="D18" s="342"/>
      <c r="E18" s="343"/>
      <c r="F18" s="346"/>
      <c r="G18" s="347"/>
      <c r="H18" s="257"/>
      <c r="I18" s="257"/>
      <c r="J18" s="257"/>
      <c r="K18" s="257"/>
      <c r="L18" s="257"/>
      <c r="M18" s="257"/>
      <c r="N18" s="257"/>
      <c r="O18" s="257"/>
      <c r="P18" s="257"/>
      <c r="Q18" s="257"/>
      <c r="R18" s="257"/>
      <c r="S18" s="257"/>
    </row>
    <row r="19" spans="1:19">
      <c r="A19" s="257"/>
      <c r="B19" s="341"/>
      <c r="C19" s="342"/>
      <c r="D19" s="342"/>
      <c r="E19" s="343"/>
      <c r="F19" s="348" t="s">
        <v>165</v>
      </c>
      <c r="G19" s="349"/>
      <c r="H19" s="257"/>
      <c r="I19" s="257"/>
      <c r="J19" s="257"/>
      <c r="K19" s="257"/>
      <c r="L19" s="257"/>
      <c r="M19" s="257"/>
      <c r="N19" s="257"/>
      <c r="O19" s="257"/>
      <c r="P19" s="257"/>
      <c r="Q19" s="257"/>
      <c r="R19" s="257"/>
      <c r="S19" s="257"/>
    </row>
    <row r="20" spans="1:19">
      <c r="A20" s="257"/>
      <c r="B20" s="341"/>
      <c r="C20" s="342"/>
      <c r="D20" s="342"/>
      <c r="E20" s="343"/>
      <c r="F20" s="350"/>
      <c r="G20" s="351"/>
      <c r="H20" s="257"/>
      <c r="I20" s="257"/>
      <c r="J20" s="257"/>
      <c r="K20" s="257"/>
      <c r="L20" s="257"/>
      <c r="M20" s="257"/>
      <c r="N20" s="257"/>
      <c r="O20" s="257"/>
      <c r="P20" s="257"/>
      <c r="Q20" s="257"/>
      <c r="R20" s="257"/>
      <c r="S20" s="257"/>
    </row>
    <row r="21" spans="1:19">
      <c r="A21" s="257"/>
      <c r="B21" s="341"/>
      <c r="C21" s="342"/>
      <c r="D21" s="342"/>
      <c r="E21" s="343"/>
      <c r="F21" s="350"/>
      <c r="G21" s="351"/>
      <c r="H21" s="257"/>
      <c r="I21" s="257"/>
      <c r="J21" s="257"/>
      <c r="K21" s="257"/>
      <c r="L21" s="257"/>
      <c r="M21" s="257"/>
      <c r="N21" s="257"/>
      <c r="O21" s="257"/>
      <c r="P21" s="257"/>
      <c r="Q21" s="257"/>
      <c r="R21" s="257"/>
      <c r="S21" s="257"/>
    </row>
    <row r="22" ht="15.15" spans="1:19">
      <c r="A22" s="257"/>
      <c r="B22" s="352"/>
      <c r="C22" s="353"/>
      <c r="D22" s="353"/>
      <c r="E22" s="354"/>
      <c r="F22" s="355"/>
      <c r="G22" s="356"/>
      <c r="H22" s="257"/>
      <c r="I22" s="257"/>
      <c r="J22" s="257"/>
      <c r="K22" s="257"/>
      <c r="L22" s="257"/>
      <c r="M22" s="257"/>
      <c r="N22" s="257"/>
      <c r="O22" s="257"/>
      <c r="P22" s="257"/>
      <c r="Q22" s="257"/>
      <c r="R22" s="257"/>
      <c r="S22" s="257"/>
    </row>
    <row r="23" spans="1:19">
      <c r="A23" s="357"/>
      <c r="B23" s="357"/>
      <c r="C23" s="357"/>
      <c r="D23" s="357"/>
      <c r="E23" s="357"/>
      <c r="F23" s="357"/>
      <c r="G23" s="357"/>
      <c r="H23" s="357"/>
      <c r="I23" s="357"/>
      <c r="J23" s="357"/>
      <c r="K23" s="357"/>
      <c r="L23" s="357"/>
      <c r="M23" s="357"/>
      <c r="N23" s="357"/>
      <c r="O23" s="357"/>
      <c r="P23" s="357"/>
      <c r="Q23" s="357"/>
      <c r="R23" s="257"/>
      <c r="S23" s="257"/>
    </row>
    <row r="24" spans="1:19">
      <c r="A24" s="357"/>
      <c r="B24" s="357"/>
      <c r="C24" s="357"/>
      <c r="D24" s="357"/>
      <c r="E24" s="357"/>
      <c r="F24" s="357"/>
      <c r="G24" s="357"/>
      <c r="H24" s="357"/>
      <c r="I24" s="357"/>
      <c r="J24" s="357"/>
      <c r="K24" s="357"/>
      <c r="L24" s="357"/>
      <c r="M24" s="357"/>
      <c r="N24" s="357"/>
      <c r="O24" s="357"/>
      <c r="P24" s="357"/>
      <c r="Q24" s="357"/>
      <c r="R24" s="257"/>
      <c r="S24" s="257"/>
    </row>
    <row r="25" ht="15" customHeight="1" spans="1:19">
      <c r="A25" s="357"/>
      <c r="B25" s="357"/>
      <c r="C25" s="357"/>
      <c r="D25" s="357"/>
      <c r="E25" s="357"/>
      <c r="F25" s="357"/>
      <c r="G25" s="357"/>
      <c r="H25" s="357"/>
      <c r="I25" s="357"/>
      <c r="J25" s="357"/>
      <c r="K25" s="357"/>
      <c r="L25" s="357"/>
      <c r="M25" s="357"/>
      <c r="N25" s="357"/>
      <c r="O25" s="357"/>
      <c r="P25" s="357"/>
      <c r="Q25" s="357"/>
      <c r="R25" s="257"/>
      <c r="S25" s="257"/>
    </row>
    <row r="26" spans="1:19">
      <c r="A26" s="357"/>
      <c r="B26" s="357"/>
      <c r="C26" s="357"/>
      <c r="D26" s="357"/>
      <c r="E26" s="357"/>
      <c r="F26" s="357"/>
      <c r="G26" s="357"/>
      <c r="H26" s="357"/>
      <c r="I26" s="357"/>
      <c r="J26" s="357"/>
      <c r="K26" s="357"/>
      <c r="L26" s="357"/>
      <c r="M26" s="357"/>
      <c r="N26" s="357"/>
      <c r="O26" s="357"/>
      <c r="P26" s="357"/>
      <c r="Q26" s="357"/>
      <c r="R26" s="257"/>
      <c r="S26" s="257"/>
    </row>
    <row r="27" spans="1:19">
      <c r="A27" s="357"/>
      <c r="B27" s="357"/>
      <c r="C27" s="357"/>
      <c r="D27" s="357"/>
      <c r="E27" s="357"/>
      <c r="F27" s="357"/>
      <c r="G27" s="357"/>
      <c r="H27" s="357"/>
      <c r="I27" s="357"/>
      <c r="J27" s="357"/>
      <c r="K27" s="357"/>
      <c r="L27" s="357"/>
      <c r="M27" s="357"/>
      <c r="N27" s="357"/>
      <c r="O27" s="357"/>
      <c r="P27" s="357"/>
      <c r="Q27" s="357"/>
      <c r="R27" s="257"/>
      <c r="S27" s="257"/>
    </row>
    <row r="28" spans="1:19">
      <c r="A28" s="357"/>
      <c r="B28" s="357"/>
      <c r="C28" s="357"/>
      <c r="D28" s="357"/>
      <c r="E28" s="357"/>
      <c r="F28" s="357"/>
      <c r="G28" s="357"/>
      <c r="H28" s="357"/>
      <c r="I28" s="357"/>
      <c r="J28" s="357"/>
      <c r="K28" s="357"/>
      <c r="L28" s="357"/>
      <c r="M28" s="357"/>
      <c r="N28" s="357"/>
      <c r="O28" s="357"/>
      <c r="P28" s="357"/>
      <c r="Q28" s="357"/>
      <c r="R28" s="257"/>
      <c r="S28" s="257"/>
    </row>
    <row r="29" spans="1:19">
      <c r="A29" s="357"/>
      <c r="B29" s="357"/>
      <c r="C29" s="357"/>
      <c r="D29" s="357"/>
      <c r="E29" s="357"/>
      <c r="F29" s="357"/>
      <c r="G29" s="357"/>
      <c r="H29" s="357"/>
      <c r="I29" s="357"/>
      <c r="J29" s="357"/>
      <c r="K29" s="357"/>
      <c r="L29" s="357"/>
      <c r="M29" s="357"/>
      <c r="N29" s="357"/>
      <c r="O29" s="357"/>
      <c r="P29" s="357"/>
      <c r="Q29" s="357"/>
      <c r="R29" s="257"/>
      <c r="S29" s="257"/>
    </row>
    <row r="30" spans="1:19">
      <c r="A30" s="357"/>
      <c r="B30" s="357"/>
      <c r="C30" s="357"/>
      <c r="D30" s="357"/>
      <c r="E30" s="357"/>
      <c r="F30" s="357"/>
      <c r="G30" s="357"/>
      <c r="H30" s="357"/>
      <c r="I30" s="357"/>
      <c r="J30" s="357"/>
      <c r="K30" s="357"/>
      <c r="L30" s="357"/>
      <c r="M30" s="357"/>
      <c r="N30" s="357"/>
      <c r="O30" s="357"/>
      <c r="P30" s="357"/>
      <c r="Q30" s="357"/>
      <c r="R30" s="257"/>
      <c r="S30" s="257"/>
    </row>
    <row r="31" spans="1:19">
      <c r="A31" s="357"/>
      <c r="B31" s="357"/>
      <c r="C31" s="357"/>
      <c r="D31" s="357"/>
      <c r="E31" s="357"/>
      <c r="F31" s="357"/>
      <c r="G31" s="357"/>
      <c r="H31" s="357"/>
      <c r="I31" s="357"/>
      <c r="J31" s="357"/>
      <c r="K31" s="357"/>
      <c r="L31" s="357"/>
      <c r="M31" s="357"/>
      <c r="N31" s="357"/>
      <c r="O31" s="357"/>
      <c r="P31" s="357"/>
      <c r="Q31" s="357"/>
      <c r="R31" s="257"/>
      <c r="S31" s="257"/>
    </row>
    <row r="32" spans="1:19">
      <c r="A32" s="357"/>
      <c r="B32" s="357"/>
      <c r="C32" s="357"/>
      <c r="D32" s="357"/>
      <c r="E32" s="357"/>
      <c r="F32" s="357"/>
      <c r="G32" s="357"/>
      <c r="H32" s="357"/>
      <c r="I32" s="357"/>
      <c r="J32" s="357"/>
      <c r="K32" s="357"/>
      <c r="L32" s="357"/>
      <c r="M32" s="357"/>
      <c r="N32" s="357"/>
      <c r="O32" s="357"/>
      <c r="P32" s="357"/>
      <c r="Q32" s="357"/>
      <c r="R32" s="257"/>
      <c r="S32" s="257"/>
    </row>
    <row r="33" spans="1:19">
      <c r="A33" s="357"/>
      <c r="B33" s="357"/>
      <c r="C33" s="357"/>
      <c r="D33" s="357"/>
      <c r="E33" s="357"/>
      <c r="F33" s="357"/>
      <c r="G33" s="357"/>
      <c r="H33" s="357"/>
      <c r="I33" s="357"/>
      <c r="J33" s="357"/>
      <c r="K33" s="357"/>
      <c r="L33" s="357"/>
      <c r="M33" s="357"/>
      <c r="N33" s="357"/>
      <c r="O33" s="357"/>
      <c r="P33" s="357"/>
      <c r="Q33" s="357"/>
      <c r="R33" s="257"/>
      <c r="S33" s="257"/>
    </row>
    <row r="34" spans="1:19">
      <c r="A34" s="357"/>
      <c r="B34" s="357"/>
      <c r="C34" s="357"/>
      <c r="D34" s="357"/>
      <c r="E34" s="357"/>
      <c r="F34" s="357"/>
      <c r="G34" s="357"/>
      <c r="H34" s="357"/>
      <c r="I34" s="357"/>
      <c r="J34" s="357"/>
      <c r="K34" s="357"/>
      <c r="L34" s="357"/>
      <c r="M34" s="357"/>
      <c r="N34" s="357"/>
      <c r="O34" s="357"/>
      <c r="P34" s="357"/>
      <c r="Q34" s="357"/>
      <c r="R34" s="257"/>
      <c r="S34" s="257"/>
    </row>
    <row r="35" spans="1:19">
      <c r="A35" s="357"/>
      <c r="B35" s="357"/>
      <c r="C35" s="357"/>
      <c r="D35" s="357"/>
      <c r="E35" s="357"/>
      <c r="F35" s="357"/>
      <c r="G35" s="357"/>
      <c r="H35" s="357"/>
      <c r="I35" s="357"/>
      <c r="J35" s="357"/>
      <c r="K35" s="357"/>
      <c r="L35" s="357"/>
      <c r="M35" s="357"/>
      <c r="N35" s="357"/>
      <c r="O35" s="357"/>
      <c r="P35" s="357"/>
      <c r="Q35" s="357"/>
      <c r="R35" s="257"/>
      <c r="S35" s="257"/>
    </row>
    <row r="36" spans="1:19">
      <c r="A36" s="357"/>
      <c r="B36" s="357"/>
      <c r="C36" s="357"/>
      <c r="D36" s="357"/>
      <c r="E36" s="357"/>
      <c r="F36" s="357"/>
      <c r="G36" s="357"/>
      <c r="H36" s="357"/>
      <c r="I36" s="357"/>
      <c r="J36" s="357"/>
      <c r="K36" s="357"/>
      <c r="L36" s="357"/>
      <c r="M36" s="357"/>
      <c r="N36" s="357"/>
      <c r="O36" s="357"/>
      <c r="P36" s="357"/>
      <c r="Q36" s="357"/>
      <c r="R36" s="257"/>
      <c r="S36" s="257"/>
    </row>
    <row r="37" spans="1:19">
      <c r="A37" s="357"/>
      <c r="B37" s="357"/>
      <c r="C37" s="357"/>
      <c r="D37" s="357"/>
      <c r="E37" s="357"/>
      <c r="F37" s="357"/>
      <c r="G37" s="357"/>
      <c r="H37" s="357"/>
      <c r="I37" s="357"/>
      <c r="J37" s="357"/>
      <c r="K37" s="357"/>
      <c r="L37" s="357"/>
      <c r="M37" s="357"/>
      <c r="N37" s="357"/>
      <c r="O37" s="357"/>
      <c r="P37" s="357"/>
      <c r="Q37" s="357"/>
      <c r="R37" s="257"/>
      <c r="S37" s="257"/>
    </row>
    <row r="38" spans="1:19">
      <c r="A38" s="357"/>
      <c r="B38" s="357"/>
      <c r="C38" s="357"/>
      <c r="D38" s="357"/>
      <c r="E38" s="357"/>
      <c r="F38" s="357"/>
      <c r="G38" s="357"/>
      <c r="H38" s="357"/>
      <c r="I38" s="357"/>
      <c r="J38" s="357"/>
      <c r="K38" s="357"/>
      <c r="L38" s="357"/>
      <c r="M38" s="357"/>
      <c r="N38" s="357"/>
      <c r="O38" s="357"/>
      <c r="P38" s="357"/>
      <c r="Q38" s="357"/>
      <c r="R38" s="257"/>
      <c r="S38" s="257"/>
    </row>
    <row r="39" spans="1:19">
      <c r="A39" s="357"/>
      <c r="B39" s="357"/>
      <c r="C39" s="357"/>
      <c r="D39" s="357"/>
      <c r="E39" s="357"/>
      <c r="F39" s="357"/>
      <c r="G39" s="357"/>
      <c r="H39" s="357"/>
      <c r="I39" s="357"/>
      <c r="J39" s="357"/>
      <c r="K39" s="357"/>
      <c r="L39" s="357"/>
      <c r="M39" s="357"/>
      <c r="N39" s="357"/>
      <c r="O39" s="357"/>
      <c r="P39" s="357"/>
      <c r="Q39" s="357"/>
      <c r="R39" s="257"/>
      <c r="S39" s="257"/>
    </row>
    <row r="40" spans="1:19">
      <c r="A40" s="357"/>
      <c r="B40" s="357"/>
      <c r="C40" s="357"/>
      <c r="D40" s="357"/>
      <c r="E40" s="357"/>
      <c r="F40" s="357"/>
      <c r="G40" s="357"/>
      <c r="H40" s="357"/>
      <c r="I40" s="357"/>
      <c r="J40" s="357"/>
      <c r="K40" s="357"/>
      <c r="L40" s="357"/>
      <c r="M40" s="357"/>
      <c r="N40" s="357"/>
      <c r="O40" s="357"/>
      <c r="P40" s="357"/>
      <c r="Q40" s="357"/>
      <c r="R40" s="257"/>
      <c r="S40" s="257"/>
    </row>
    <row r="41" spans="1:19">
      <c r="A41" s="357"/>
      <c r="B41" s="357"/>
      <c r="C41" s="357"/>
      <c r="D41" s="357"/>
      <c r="E41" s="357"/>
      <c r="F41" s="357"/>
      <c r="G41" s="357"/>
      <c r="H41" s="357"/>
      <c r="I41" s="357"/>
      <c r="J41" s="357"/>
      <c r="K41" s="357"/>
      <c r="L41" s="357"/>
      <c r="M41" s="357"/>
      <c r="N41" s="357"/>
      <c r="O41" s="357"/>
      <c r="P41" s="357"/>
      <c r="Q41" s="357"/>
      <c r="R41" s="257"/>
      <c r="S41" s="257"/>
    </row>
    <row r="42" spans="1:19">
      <c r="A42" s="357"/>
      <c r="B42" s="357"/>
      <c r="C42" s="357"/>
      <c r="D42" s="357"/>
      <c r="E42" s="357"/>
      <c r="F42" s="357"/>
      <c r="G42" s="357"/>
      <c r="H42" s="357"/>
      <c r="I42" s="357"/>
      <c r="J42" s="357"/>
      <c r="K42" s="357"/>
      <c r="L42" s="357"/>
      <c r="M42" s="357"/>
      <c r="N42" s="357"/>
      <c r="O42" s="357"/>
      <c r="P42" s="357"/>
      <c r="Q42" s="357"/>
      <c r="R42" s="257"/>
      <c r="S42" s="257"/>
    </row>
  </sheetData>
  <mergeCells count="5">
    <mergeCell ref="B17:E22"/>
    <mergeCell ref="F17:G18"/>
    <mergeCell ref="F19:G22"/>
    <mergeCell ref="B9:D10"/>
    <mergeCell ref="B11:D14"/>
  </mergeCells>
  <conditionalFormatting sqref="E3:F3">
    <cfRule type="expression" dxfId="2" priority="27">
      <formula>$C$15&lt;1</formula>
    </cfRule>
  </conditionalFormatting>
  <conditionalFormatting sqref="G3:H3">
    <cfRule type="expression" dxfId="2" priority="13">
      <formula>$C$15&lt;15</formula>
    </cfRule>
  </conditionalFormatting>
  <conditionalFormatting sqref="E4:F4">
    <cfRule type="expression" dxfId="2" priority="26">
      <formula>$C$15&lt;2</formula>
    </cfRule>
  </conditionalFormatting>
  <conditionalFormatting sqref="G4:H4">
    <cfRule type="expression" dxfId="2" priority="12">
      <formula>$C$15&lt;16</formula>
    </cfRule>
  </conditionalFormatting>
  <conditionalFormatting sqref="E5:F5">
    <cfRule type="expression" dxfId="2" priority="24">
      <formula>$C$15&lt;3</formula>
    </cfRule>
  </conditionalFormatting>
  <conditionalFormatting sqref="G5:H5">
    <cfRule type="expression" dxfId="2" priority="11">
      <formula>$C$15&lt;17</formula>
    </cfRule>
  </conditionalFormatting>
  <conditionalFormatting sqref="E6:F6">
    <cfRule type="expression" dxfId="2" priority="23">
      <formula>$C$15&lt;4</formula>
    </cfRule>
  </conditionalFormatting>
  <conditionalFormatting sqref="G6:H6">
    <cfRule type="expression" dxfId="2" priority="10">
      <formula>$C$15&lt;18</formula>
    </cfRule>
  </conditionalFormatting>
  <conditionalFormatting sqref="E7:F7">
    <cfRule type="expression" dxfId="2" priority="22">
      <formula>$C$15&lt;5</formula>
    </cfRule>
  </conditionalFormatting>
  <conditionalFormatting sqref="G7:H7">
    <cfRule type="expression" dxfId="2" priority="9">
      <formula>$C$15&lt;19</formula>
    </cfRule>
  </conditionalFormatting>
  <conditionalFormatting sqref="E8:F8">
    <cfRule type="expression" priority="21">
      <formula>$C$15&lt;6</formula>
    </cfRule>
  </conditionalFormatting>
  <conditionalFormatting sqref="G8:H8">
    <cfRule type="expression" dxfId="2" priority="8">
      <formula>$C$15&lt;20</formula>
    </cfRule>
  </conditionalFormatting>
  <conditionalFormatting sqref="E9:F9">
    <cfRule type="expression" dxfId="2" priority="20">
      <formula>$C$15&lt;7</formula>
    </cfRule>
  </conditionalFormatting>
  <conditionalFormatting sqref="G9:H9">
    <cfRule type="expression" dxfId="2" priority="7">
      <formula>$C$15&lt;21</formula>
    </cfRule>
  </conditionalFormatting>
  <conditionalFormatting sqref="E10:F10">
    <cfRule type="expression" dxfId="2" priority="19">
      <formula>$C$15&lt;8</formula>
    </cfRule>
  </conditionalFormatting>
  <conditionalFormatting sqref="G10:H10">
    <cfRule type="expression" dxfId="2" priority="6">
      <formula>$C$15&lt;22</formula>
    </cfRule>
  </conditionalFormatting>
  <conditionalFormatting sqref="E11:F11">
    <cfRule type="expression" dxfId="2" priority="18">
      <formula>$C$15&lt;9</formula>
    </cfRule>
  </conditionalFormatting>
  <conditionalFormatting sqref="G11:H11">
    <cfRule type="expression" dxfId="2" priority="5">
      <formula>$C$15&lt;23</formula>
    </cfRule>
  </conditionalFormatting>
  <conditionalFormatting sqref="E12:F12">
    <cfRule type="expression" dxfId="2" priority="17">
      <formula>$C$15&lt;10</formula>
    </cfRule>
  </conditionalFormatting>
  <conditionalFormatting sqref="G12:H12">
    <cfRule type="expression" dxfId="2" priority="4">
      <formula>$C$15&lt;24</formula>
    </cfRule>
  </conditionalFormatting>
  <conditionalFormatting sqref="E13:F13">
    <cfRule type="expression" dxfId="2" priority="16">
      <formula>$C$15&lt;11</formula>
    </cfRule>
  </conditionalFormatting>
  <conditionalFormatting sqref="G13:H13">
    <cfRule type="expression" dxfId="2" priority="3">
      <formula>$C$15&lt;25</formula>
    </cfRule>
  </conditionalFormatting>
  <conditionalFormatting sqref="E14:F14">
    <cfRule type="expression" dxfId="2" priority="15">
      <formula>$C$15&lt;12</formula>
    </cfRule>
  </conditionalFormatting>
  <conditionalFormatting sqref="G14:H14">
    <cfRule type="expression" dxfId="2" priority="2">
      <formula>$C$15&lt;26</formula>
    </cfRule>
  </conditionalFormatting>
  <conditionalFormatting sqref="E15:F15">
    <cfRule type="expression" dxfId="2" priority="25">
      <formula>$C$15&lt;13</formula>
    </cfRule>
  </conditionalFormatting>
  <conditionalFormatting sqref="G15:H15">
    <cfRule type="expression" dxfId="2" priority="1">
      <formula>$C$15&lt;$G$15</formula>
    </cfRule>
  </conditionalFormatting>
  <conditionalFormatting sqref="E16:F16">
    <cfRule type="expression" dxfId="2"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zoomScale="140" zoomScaleNormal="140" workbookViewId="0">
      <selection activeCell="G6" sqref="G6"/>
    </sheetView>
  </sheetViews>
  <sheetFormatPr defaultColWidth="8.88888888888889" defaultRowHeight="14.4"/>
  <cols>
    <col min="1" max="1" width="4.43518518518519" customWidth="1"/>
    <col min="2" max="2" width="12.8888888888889" customWidth="1"/>
    <col min="5" max="5" width="23" customWidth="1"/>
  </cols>
  <sheetData>
    <row r="1" ht="15.15" spans="1:27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c r="HH1" s="316"/>
      <c r="HI1" s="316"/>
      <c r="HJ1" s="316"/>
      <c r="HK1" s="316"/>
      <c r="HL1" s="316"/>
      <c r="HM1" s="316"/>
      <c r="HN1" s="316"/>
      <c r="HO1" s="316"/>
      <c r="HP1" s="316"/>
      <c r="HQ1" s="316"/>
      <c r="HR1" s="316"/>
      <c r="HS1" s="316"/>
      <c r="HT1" s="316"/>
      <c r="HU1" s="316"/>
      <c r="HV1" s="316"/>
      <c r="HW1" s="316"/>
      <c r="HX1" s="316"/>
      <c r="HY1" s="316"/>
      <c r="HZ1" s="316"/>
      <c r="IA1" s="316"/>
      <c r="IB1" s="316"/>
      <c r="IC1" s="316"/>
      <c r="ID1" s="316"/>
      <c r="IE1" s="316"/>
      <c r="IF1" s="316"/>
      <c r="IG1" s="316"/>
      <c r="IH1" s="316"/>
      <c r="II1" s="316"/>
      <c r="IJ1" s="316"/>
      <c r="IK1" s="316"/>
      <c r="IL1" s="316"/>
      <c r="IM1" s="316"/>
      <c r="IN1" s="316"/>
      <c r="IO1" s="316"/>
      <c r="IP1" s="316"/>
      <c r="IQ1" s="316"/>
      <c r="IR1" s="316"/>
      <c r="IS1" s="316"/>
      <c r="IT1" s="316"/>
      <c r="IU1" s="316"/>
      <c r="IV1" s="316"/>
      <c r="IW1" s="316"/>
      <c r="IX1" s="316"/>
      <c r="IY1" s="316"/>
      <c r="IZ1" s="316"/>
      <c r="JA1" s="316"/>
      <c r="JB1" s="316"/>
      <c r="JC1" s="316"/>
      <c r="JD1" s="316"/>
      <c r="JE1" s="316"/>
      <c r="JF1" s="316"/>
      <c r="JG1" s="316"/>
      <c r="JH1" s="316"/>
      <c r="JI1" s="316"/>
      <c r="JJ1" s="316"/>
      <c r="JK1" s="316"/>
      <c r="JL1" s="316"/>
    </row>
    <row r="2" ht="16.35" spans="1:272">
      <c r="A2" s="257"/>
      <c r="B2" s="296" t="s">
        <v>166</v>
      </c>
      <c r="C2" s="297" t="s">
        <v>167</v>
      </c>
      <c r="D2" s="298" t="s">
        <v>168</v>
      </c>
      <c r="E2" s="299" t="s">
        <v>169</v>
      </c>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c r="HC2" s="316"/>
      <c r="HD2" s="316"/>
      <c r="HE2" s="316"/>
      <c r="HF2" s="316"/>
      <c r="HG2" s="316"/>
      <c r="HH2" s="316"/>
      <c r="HI2" s="316"/>
      <c r="HJ2" s="316"/>
      <c r="HK2" s="316"/>
      <c r="HL2" s="316"/>
      <c r="HM2" s="316"/>
      <c r="HN2" s="316"/>
      <c r="HO2" s="316"/>
      <c r="HP2" s="316"/>
      <c r="HQ2" s="316"/>
      <c r="HR2" s="316"/>
      <c r="HS2" s="316"/>
      <c r="HT2" s="316"/>
      <c r="HU2" s="316"/>
      <c r="HV2" s="316"/>
      <c r="HW2" s="316"/>
      <c r="HX2" s="316"/>
      <c r="HY2" s="316"/>
      <c r="HZ2" s="316"/>
      <c r="IA2" s="316"/>
      <c r="IB2" s="316"/>
      <c r="IC2" s="316"/>
      <c r="ID2" s="316"/>
      <c r="IE2" s="316"/>
      <c r="IF2" s="316"/>
      <c r="IG2" s="316"/>
      <c r="IH2" s="316"/>
      <c r="II2" s="316"/>
      <c r="IJ2" s="316"/>
      <c r="IK2" s="316"/>
      <c r="IL2" s="316"/>
      <c r="IM2" s="316"/>
      <c r="IN2" s="316"/>
      <c r="IO2" s="316"/>
      <c r="IP2" s="316"/>
      <c r="IQ2" s="316"/>
      <c r="IR2" s="316"/>
      <c r="IS2" s="316"/>
      <c r="IT2" s="316"/>
      <c r="IU2" s="316"/>
      <c r="IV2" s="316"/>
      <c r="IW2" s="316"/>
      <c r="IX2" s="316"/>
      <c r="IY2" s="316"/>
      <c r="IZ2" s="316"/>
      <c r="JA2" s="316"/>
      <c r="JB2" s="316"/>
      <c r="JC2" s="316"/>
      <c r="JD2" s="316"/>
      <c r="JE2" s="316"/>
      <c r="JF2" s="316"/>
      <c r="JG2" s="316"/>
      <c r="JH2" s="316"/>
      <c r="JI2" s="316"/>
      <c r="JJ2" s="316"/>
      <c r="JK2" s="316"/>
      <c r="JL2" s="316"/>
    </row>
    <row r="3" ht="15.6" spans="1:272">
      <c r="A3" s="257"/>
      <c r="B3" s="300" t="s">
        <v>170</v>
      </c>
      <c r="C3" s="301">
        <v>300</v>
      </c>
      <c r="D3" s="302">
        <v>513</v>
      </c>
      <c r="E3" s="303">
        <f ca="1">IF(D3&gt;C3,NOW()+数据表!S120,数据表!P94)</f>
        <v>44848.3670677063</v>
      </c>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316"/>
      <c r="IX3" s="316"/>
      <c r="IY3" s="316"/>
      <c r="IZ3" s="316"/>
      <c r="JA3" s="316"/>
      <c r="JB3" s="316"/>
      <c r="JC3" s="316"/>
      <c r="JD3" s="316"/>
      <c r="JE3" s="316"/>
      <c r="JF3" s="316"/>
      <c r="JG3" s="316"/>
      <c r="JH3" s="316"/>
      <c r="JI3" s="316"/>
      <c r="JJ3" s="316"/>
      <c r="JK3" s="316"/>
      <c r="JL3" s="316"/>
    </row>
    <row r="4" ht="15.6" spans="1:272">
      <c r="A4" s="257"/>
      <c r="B4" s="304" t="s">
        <v>171</v>
      </c>
      <c r="C4" s="305">
        <v>400</v>
      </c>
      <c r="D4" s="306">
        <v>513</v>
      </c>
      <c r="E4" s="307">
        <f ca="1">IF(D4&gt;C4,NOW()+数据表!S121,数据表!P94)</f>
        <v>44810.4393265255</v>
      </c>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GL4" s="316"/>
      <c r="GM4" s="316"/>
      <c r="GN4" s="316"/>
      <c r="GO4" s="316"/>
      <c r="GP4" s="316"/>
      <c r="GQ4" s="316"/>
      <c r="GR4" s="316"/>
      <c r="GS4" s="316"/>
      <c r="GT4" s="316"/>
      <c r="GU4" s="316"/>
      <c r="GV4" s="316"/>
      <c r="GW4" s="316"/>
      <c r="GX4" s="316"/>
      <c r="GY4" s="316"/>
      <c r="GZ4" s="316"/>
      <c r="HA4" s="316"/>
      <c r="HB4" s="316"/>
      <c r="HC4" s="316"/>
      <c r="HD4" s="316"/>
      <c r="HE4" s="316"/>
      <c r="HF4" s="316"/>
      <c r="HG4" s="316"/>
      <c r="HH4" s="316"/>
      <c r="HI4" s="316"/>
      <c r="HJ4" s="316"/>
      <c r="HK4" s="316"/>
      <c r="HL4" s="316"/>
      <c r="HM4" s="316"/>
      <c r="HN4" s="316"/>
      <c r="HO4" s="316"/>
      <c r="HP4" s="316"/>
      <c r="HQ4" s="316"/>
      <c r="HR4" s="316"/>
      <c r="HS4" s="316"/>
      <c r="HT4" s="316"/>
      <c r="HU4" s="316"/>
      <c r="HV4" s="316"/>
      <c r="HW4" s="316"/>
      <c r="HX4" s="316"/>
      <c r="HY4" s="316"/>
      <c r="HZ4" s="316"/>
      <c r="IA4" s="316"/>
      <c r="IB4" s="316"/>
      <c r="IC4" s="316"/>
      <c r="ID4" s="316"/>
      <c r="IE4" s="316"/>
      <c r="IF4" s="316"/>
      <c r="IG4" s="316"/>
      <c r="IH4" s="316"/>
      <c r="II4" s="316"/>
      <c r="IJ4" s="316"/>
      <c r="IK4" s="316"/>
      <c r="IL4" s="316"/>
      <c r="IM4" s="316"/>
      <c r="IN4" s="316"/>
      <c r="IO4" s="316"/>
      <c r="IP4" s="316"/>
      <c r="IQ4" s="316"/>
      <c r="IR4" s="316"/>
      <c r="IS4" s="316"/>
      <c r="IT4" s="316"/>
      <c r="IU4" s="316"/>
      <c r="IV4" s="316"/>
      <c r="IW4" s="316"/>
      <c r="IX4" s="316"/>
      <c r="IY4" s="316"/>
      <c r="IZ4" s="316"/>
      <c r="JA4" s="316"/>
      <c r="JB4" s="316"/>
      <c r="JC4" s="316"/>
      <c r="JD4" s="316"/>
      <c r="JE4" s="316"/>
      <c r="JF4" s="316"/>
      <c r="JG4" s="316"/>
      <c r="JH4" s="316"/>
      <c r="JI4" s="316"/>
      <c r="JJ4" s="316"/>
      <c r="JK4" s="316"/>
      <c r="JL4" s="316"/>
    </row>
    <row r="5" ht="15.6" spans="1:272">
      <c r="A5" s="257"/>
      <c r="B5" s="304" t="s">
        <v>172</v>
      </c>
      <c r="C5" s="305">
        <v>300</v>
      </c>
      <c r="D5" s="306">
        <v>343</v>
      </c>
      <c r="E5" s="307">
        <f ca="1">IF(数据表!R108=0,数据表!P94,NOW()+数据表!R108)</f>
        <v>44745.7830196317</v>
      </c>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c r="FO5" s="316"/>
      <c r="FP5" s="316"/>
      <c r="FQ5" s="316"/>
      <c r="FR5" s="316"/>
      <c r="FS5" s="316"/>
      <c r="FT5" s="316"/>
      <c r="FU5" s="316"/>
      <c r="FV5" s="316"/>
      <c r="FW5" s="316"/>
      <c r="FX5" s="316"/>
      <c r="FY5" s="316"/>
      <c r="FZ5" s="316"/>
      <c r="GA5" s="316"/>
      <c r="GB5" s="316"/>
      <c r="GC5" s="316"/>
      <c r="GD5" s="316"/>
      <c r="GE5" s="316"/>
      <c r="GF5" s="316"/>
      <c r="GG5" s="316"/>
      <c r="GH5" s="316"/>
      <c r="GI5" s="316"/>
      <c r="GJ5" s="316"/>
      <c r="GK5" s="316"/>
      <c r="GL5" s="316"/>
      <c r="GM5" s="316"/>
      <c r="GN5" s="316"/>
      <c r="GO5" s="316"/>
      <c r="GP5" s="316"/>
      <c r="GQ5" s="316"/>
      <c r="GR5" s="316"/>
      <c r="GS5" s="316"/>
      <c r="GT5" s="316"/>
      <c r="GU5" s="316"/>
      <c r="GV5" s="316"/>
      <c r="GW5" s="316"/>
      <c r="GX5" s="316"/>
      <c r="GY5" s="316"/>
      <c r="GZ5" s="316"/>
      <c r="HA5" s="316"/>
      <c r="HB5" s="316"/>
      <c r="HC5" s="316"/>
      <c r="HD5" s="316"/>
      <c r="HE5" s="316"/>
      <c r="HF5" s="316"/>
      <c r="HG5" s="316"/>
      <c r="HH5" s="316"/>
      <c r="HI5" s="316"/>
      <c r="HJ5" s="316"/>
      <c r="HK5" s="316"/>
      <c r="HL5" s="316"/>
      <c r="HM5" s="316"/>
      <c r="HN5" s="316"/>
      <c r="HO5" s="316"/>
      <c r="HP5" s="316"/>
      <c r="HQ5" s="316"/>
      <c r="HR5" s="316"/>
      <c r="HS5" s="316"/>
      <c r="HT5" s="316"/>
      <c r="HU5" s="316"/>
      <c r="HV5" s="316"/>
      <c r="HW5" s="316"/>
      <c r="HX5" s="316"/>
      <c r="HY5" s="316"/>
      <c r="HZ5" s="316"/>
      <c r="IA5" s="316"/>
      <c r="IB5" s="316"/>
      <c r="IC5" s="316"/>
      <c r="ID5" s="316"/>
      <c r="IE5" s="316"/>
      <c r="IF5" s="316"/>
      <c r="IG5" s="316"/>
      <c r="IH5" s="316"/>
      <c r="II5" s="316"/>
      <c r="IJ5" s="316"/>
      <c r="IK5" s="316"/>
      <c r="IL5" s="316"/>
      <c r="IM5" s="316"/>
      <c r="IN5" s="316"/>
      <c r="IO5" s="316"/>
      <c r="IP5" s="316"/>
      <c r="IQ5" s="316"/>
      <c r="IR5" s="316"/>
      <c r="IS5" s="316"/>
      <c r="IT5" s="316"/>
      <c r="IU5" s="316"/>
      <c r="IV5" s="316"/>
      <c r="IW5" s="316"/>
      <c r="IX5" s="316"/>
      <c r="IY5" s="316"/>
      <c r="IZ5" s="316"/>
      <c r="JA5" s="316"/>
      <c r="JB5" s="316"/>
      <c r="JC5" s="316"/>
      <c r="JD5" s="316"/>
      <c r="JE5" s="316"/>
      <c r="JF5" s="316"/>
      <c r="JG5" s="316"/>
      <c r="JH5" s="316"/>
      <c r="JI5" s="316"/>
      <c r="JJ5" s="316"/>
      <c r="JK5" s="316"/>
      <c r="JL5" s="316"/>
    </row>
    <row r="6" ht="15.6" spans="1:272">
      <c r="A6" s="257"/>
      <c r="B6" s="304" t="s">
        <v>173</v>
      </c>
      <c r="C6" s="305">
        <v>200</v>
      </c>
      <c r="D6" s="306">
        <v>343</v>
      </c>
      <c r="E6" s="307">
        <f ca="1">IF(数据表!R109=0,数据表!P94,NOW()+数据表!R109)</f>
        <v>44782.9027317537</v>
      </c>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316"/>
      <c r="EH6" s="316"/>
      <c r="EI6" s="316"/>
      <c r="EJ6" s="316"/>
      <c r="EK6" s="316"/>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316"/>
      <c r="FK6" s="316"/>
      <c r="FL6" s="316"/>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316"/>
      <c r="GL6" s="316"/>
      <c r="GM6" s="316"/>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6"/>
      <c r="HM6" s="316"/>
      <c r="HN6" s="316"/>
      <c r="HO6" s="316"/>
      <c r="HP6" s="316"/>
      <c r="HQ6" s="316"/>
      <c r="HR6" s="316"/>
      <c r="HS6" s="316"/>
      <c r="HT6" s="316"/>
      <c r="HU6" s="316"/>
      <c r="HV6" s="316"/>
      <c r="HW6" s="316"/>
      <c r="HX6" s="316"/>
      <c r="HY6" s="316"/>
      <c r="HZ6" s="316"/>
      <c r="IA6" s="316"/>
      <c r="IB6" s="316"/>
      <c r="IC6" s="316"/>
      <c r="ID6" s="316"/>
      <c r="IE6" s="316"/>
      <c r="IF6" s="316"/>
      <c r="IG6" s="316"/>
      <c r="IH6" s="316"/>
      <c r="II6" s="316"/>
      <c r="IJ6" s="316"/>
      <c r="IK6" s="316"/>
      <c r="IL6" s="316"/>
      <c r="IM6" s="316"/>
      <c r="IN6" s="316"/>
      <c r="IO6" s="316"/>
      <c r="IP6" s="316"/>
      <c r="IQ6" s="316"/>
      <c r="IR6" s="316"/>
      <c r="IS6" s="316"/>
      <c r="IT6" s="316"/>
      <c r="IU6" s="316"/>
      <c r="IV6" s="316"/>
      <c r="IW6" s="316"/>
      <c r="IX6" s="316"/>
      <c r="IY6" s="316"/>
      <c r="IZ6" s="316"/>
      <c r="JA6" s="316"/>
      <c r="JB6" s="316"/>
      <c r="JC6" s="316"/>
      <c r="JD6" s="316"/>
      <c r="JE6" s="316"/>
      <c r="JF6" s="316"/>
      <c r="JG6" s="316"/>
      <c r="JH6" s="316"/>
      <c r="JI6" s="316"/>
      <c r="JJ6" s="316"/>
      <c r="JK6" s="316"/>
      <c r="JL6" s="316"/>
    </row>
    <row r="7" ht="15.6" spans="1:272">
      <c r="A7" s="257"/>
      <c r="B7" s="304" t="s">
        <v>174</v>
      </c>
      <c r="C7" s="305">
        <v>100</v>
      </c>
      <c r="D7" s="306">
        <v>343</v>
      </c>
      <c r="E7" s="307">
        <f ca="1">IF(数据表!R110=0,数据表!P94,NOW()+数据表!R110)</f>
        <v>44807.193122013</v>
      </c>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c r="FO7" s="316"/>
      <c r="FP7" s="316"/>
      <c r="FQ7" s="316"/>
      <c r="FR7" s="316"/>
      <c r="FS7" s="316"/>
      <c r="FT7" s="316"/>
      <c r="FU7" s="316"/>
      <c r="FV7" s="316"/>
      <c r="FW7" s="316"/>
      <c r="FX7" s="316"/>
      <c r="FY7" s="316"/>
      <c r="FZ7" s="316"/>
      <c r="GA7" s="316"/>
      <c r="GB7" s="316"/>
      <c r="GC7" s="316"/>
      <c r="GD7" s="316"/>
      <c r="GE7" s="316"/>
      <c r="GF7" s="316"/>
      <c r="GG7" s="316"/>
      <c r="GH7" s="316"/>
      <c r="GI7" s="316"/>
      <c r="GJ7" s="316"/>
      <c r="GK7" s="316"/>
      <c r="GL7" s="316"/>
      <c r="GM7" s="316"/>
      <c r="GN7" s="316"/>
      <c r="GO7" s="316"/>
      <c r="GP7" s="316"/>
      <c r="GQ7" s="316"/>
      <c r="GR7" s="316"/>
      <c r="GS7" s="316"/>
      <c r="GT7" s="316"/>
      <c r="GU7" s="316"/>
      <c r="GV7" s="316"/>
      <c r="GW7" s="316"/>
      <c r="GX7" s="316"/>
      <c r="GY7" s="316"/>
      <c r="GZ7" s="316"/>
      <c r="HA7" s="316"/>
      <c r="HB7" s="316"/>
      <c r="HC7" s="316"/>
      <c r="HD7" s="316"/>
      <c r="HE7" s="316"/>
      <c r="HF7" s="316"/>
      <c r="HG7" s="316"/>
      <c r="HH7" s="316"/>
      <c r="HI7" s="316"/>
      <c r="HJ7" s="316"/>
      <c r="HK7" s="316"/>
      <c r="HL7" s="316"/>
      <c r="HM7" s="316"/>
      <c r="HN7" s="316"/>
      <c r="HO7" s="316"/>
      <c r="HP7" s="316"/>
      <c r="HQ7" s="316"/>
      <c r="HR7" s="316"/>
      <c r="HS7" s="316"/>
      <c r="HT7" s="316"/>
      <c r="HU7" s="316"/>
      <c r="HV7" s="316"/>
      <c r="HW7" s="316"/>
      <c r="HX7" s="316"/>
      <c r="HY7" s="316"/>
      <c r="HZ7" s="316"/>
      <c r="IA7" s="316"/>
      <c r="IB7" s="316"/>
      <c r="IC7" s="316"/>
      <c r="ID7" s="316"/>
      <c r="IE7" s="316"/>
      <c r="IF7" s="316"/>
      <c r="IG7" s="316"/>
      <c r="IH7" s="316"/>
      <c r="II7" s="316"/>
      <c r="IJ7" s="316"/>
      <c r="IK7" s="316"/>
      <c r="IL7" s="316"/>
      <c r="IM7" s="316"/>
      <c r="IN7" s="316"/>
      <c r="IO7" s="316"/>
      <c r="IP7" s="316"/>
      <c r="IQ7" s="316"/>
      <c r="IR7" s="316"/>
      <c r="IS7" s="316"/>
      <c r="IT7" s="316"/>
      <c r="IU7" s="316"/>
      <c r="IV7" s="316"/>
      <c r="IW7" s="316"/>
      <c r="IX7" s="316"/>
      <c r="IY7" s="316"/>
      <c r="IZ7" s="316"/>
      <c r="JA7" s="316"/>
      <c r="JB7" s="316"/>
      <c r="JC7" s="316"/>
      <c r="JD7" s="316"/>
      <c r="JE7" s="316"/>
      <c r="JF7" s="316"/>
      <c r="JG7" s="316"/>
      <c r="JH7" s="316"/>
      <c r="JI7" s="316"/>
      <c r="JJ7" s="316"/>
      <c r="JK7" s="316"/>
      <c r="JL7" s="316"/>
    </row>
    <row r="8" ht="16.35" spans="1:272">
      <c r="A8" s="257"/>
      <c r="B8" s="308" t="s">
        <v>175</v>
      </c>
      <c r="C8" s="309">
        <v>150</v>
      </c>
      <c r="D8" s="310">
        <v>150</v>
      </c>
      <c r="E8" s="311" t="str">
        <f ca="1">IF(D8&gt;C8,NOW()+(D8-C8)/'倾向-优先级表'!I15,数据表!P94)</f>
        <v>已毕业</v>
      </c>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row>
    <row r="9" ht="16.35" spans="1:272">
      <c r="A9" s="257"/>
      <c r="B9" s="312" t="s">
        <v>176</v>
      </c>
      <c r="C9" s="313"/>
      <c r="D9" s="313"/>
      <c r="E9" s="314">
        <v>44750.5833333333</v>
      </c>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316"/>
      <c r="EH9" s="316"/>
      <c r="EI9" s="316"/>
      <c r="EJ9" s="31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E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row>
    <row r="10" spans="1:272">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c r="FO10" s="316"/>
      <c r="FP10" s="316"/>
      <c r="FQ10" s="316"/>
      <c r="FR10" s="316"/>
      <c r="FS10" s="316"/>
      <c r="FT10" s="316"/>
      <c r="FU10" s="316"/>
      <c r="FV10" s="316"/>
      <c r="FW10" s="316"/>
      <c r="FX10" s="316"/>
      <c r="FY10" s="316"/>
      <c r="FZ10" s="316"/>
      <c r="GA10" s="316"/>
      <c r="GB10" s="316"/>
      <c r="GC10" s="316"/>
      <c r="GD10" s="316"/>
      <c r="GE10" s="316"/>
      <c r="GF10" s="316"/>
      <c r="GG10" s="316"/>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6"/>
      <c r="HK10" s="316"/>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6"/>
      <c r="IP10" s="316"/>
      <c r="IQ10" s="316"/>
      <c r="IR10" s="316"/>
      <c r="IS10" s="316"/>
      <c r="IT10" s="316"/>
      <c r="IU10" s="316"/>
      <c r="IV10" s="316"/>
      <c r="IW10" s="316"/>
      <c r="IX10" s="316"/>
      <c r="IY10" s="316"/>
      <c r="IZ10" s="316"/>
      <c r="JA10" s="316"/>
      <c r="JB10" s="316"/>
      <c r="JC10" s="316"/>
      <c r="JD10" s="316"/>
      <c r="JE10" s="316"/>
      <c r="JF10" s="316"/>
      <c r="JG10" s="316"/>
      <c r="JH10" s="316"/>
      <c r="JI10" s="316"/>
      <c r="JJ10" s="316"/>
      <c r="JK10" s="316"/>
      <c r="JL10" s="316"/>
    </row>
    <row r="11" spans="1:272">
      <c r="A11" s="257"/>
      <c r="B11" s="315" t="s">
        <v>177</v>
      </c>
      <c r="C11" s="315"/>
      <c r="D11" s="315"/>
      <c r="E11" s="315"/>
      <c r="F11" s="315"/>
      <c r="G11" s="315"/>
      <c r="H11" s="315"/>
      <c r="I11" s="315"/>
      <c r="J11" s="315"/>
      <c r="K11" s="315"/>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316"/>
      <c r="EH11" s="316"/>
      <c r="EI11" s="316"/>
      <c r="EJ11" s="316"/>
      <c r="EK11" s="316"/>
      <c r="EL11" s="316"/>
      <c r="EM11" s="316"/>
      <c r="EN11" s="316"/>
      <c r="EO11" s="316"/>
      <c r="EP11" s="316"/>
      <c r="EQ11" s="316"/>
      <c r="ER11" s="316"/>
      <c r="ES11" s="316"/>
      <c r="ET11" s="316"/>
      <c r="EU11" s="316"/>
      <c r="EV11" s="316"/>
      <c r="EW11" s="316"/>
      <c r="EX11" s="316"/>
      <c r="EY11" s="316"/>
      <c r="EZ11" s="316"/>
      <c r="FA11" s="316"/>
      <c r="FB11" s="316"/>
      <c r="FC11" s="316"/>
      <c r="FD11" s="316"/>
      <c r="FE11" s="316"/>
      <c r="FF11" s="316"/>
      <c r="FG11" s="316"/>
      <c r="FH11" s="316"/>
      <c r="FI11" s="316"/>
      <c r="FJ11" s="316"/>
      <c r="FK11" s="316"/>
      <c r="FL11" s="316"/>
      <c r="FM11" s="316"/>
      <c r="FN11" s="316"/>
      <c r="FO11" s="316"/>
      <c r="FP11" s="316"/>
      <c r="FQ11" s="316"/>
      <c r="FR11" s="316"/>
      <c r="FS11" s="316"/>
      <c r="FT11" s="316"/>
      <c r="FU11" s="316"/>
      <c r="FV11" s="316"/>
      <c r="FW11" s="316"/>
      <c r="FX11" s="316"/>
      <c r="FY11" s="316"/>
      <c r="FZ11" s="316"/>
      <c r="GA11" s="316"/>
      <c r="GB11" s="316"/>
      <c r="GC11" s="316"/>
      <c r="GD11" s="316"/>
      <c r="GE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row>
    <row r="12" spans="1:272">
      <c r="A12" s="257"/>
      <c r="B12" s="315"/>
      <c r="C12" s="315"/>
      <c r="D12" s="315"/>
      <c r="E12" s="315"/>
      <c r="F12" s="315"/>
      <c r="G12" s="315"/>
      <c r="H12" s="315"/>
      <c r="I12" s="315"/>
      <c r="J12" s="315"/>
      <c r="K12" s="315"/>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row>
    <row r="13" spans="1:272">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316"/>
      <c r="EH13" s="316"/>
      <c r="EI13" s="316"/>
      <c r="EJ13" s="316"/>
      <c r="EK13" s="316"/>
      <c r="EL13" s="316"/>
      <c r="EM13" s="316"/>
      <c r="EN13" s="316"/>
      <c r="EO13" s="316"/>
      <c r="EP13" s="316"/>
      <c r="EQ13" s="316"/>
      <c r="ER13" s="316"/>
      <c r="ES13" s="316"/>
      <c r="ET13" s="316"/>
      <c r="EU13" s="316"/>
      <c r="EV13" s="316"/>
      <c r="EW13" s="316"/>
      <c r="EX13" s="316"/>
      <c r="EY13" s="316"/>
      <c r="EZ13" s="316"/>
      <c r="FA13" s="316"/>
      <c r="FB13" s="316"/>
      <c r="FC13" s="316"/>
      <c r="FD13" s="316"/>
      <c r="FE13" s="316"/>
      <c r="FF13" s="316"/>
      <c r="FG13" s="316"/>
      <c r="FH13" s="316"/>
      <c r="FI13" s="316"/>
      <c r="FJ13" s="316"/>
      <c r="FK13" s="316"/>
      <c r="FL13" s="316"/>
      <c r="FM13" s="316"/>
      <c r="FN13" s="316"/>
      <c r="FO13" s="316"/>
      <c r="FP13" s="316"/>
      <c r="FQ13" s="316"/>
      <c r="FR13" s="316"/>
      <c r="FS13" s="316"/>
      <c r="FT13" s="316"/>
      <c r="FU13" s="316"/>
      <c r="FV13" s="316"/>
      <c r="FW13" s="316"/>
      <c r="FX13" s="316"/>
      <c r="FY13" s="316"/>
      <c r="FZ13" s="316"/>
      <c r="GA13" s="316"/>
      <c r="GB13" s="316"/>
      <c r="GC13" s="316"/>
      <c r="GD13" s="316"/>
      <c r="GE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row>
    <row r="14" spans="1:272">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316"/>
      <c r="EH14" s="316"/>
      <c r="EI14" s="316"/>
      <c r="EJ14" s="316"/>
      <c r="EK14" s="316"/>
      <c r="EL14" s="316"/>
      <c r="EM14" s="316"/>
      <c r="EN14" s="316"/>
      <c r="EO14" s="316"/>
      <c r="EP14" s="316"/>
      <c r="EQ14" s="316"/>
      <c r="ER14" s="316"/>
      <c r="ES14" s="316"/>
      <c r="ET14" s="316"/>
      <c r="EU14" s="316"/>
      <c r="EV14" s="316"/>
      <c r="EW14" s="316"/>
      <c r="EX14" s="316"/>
      <c r="EY14" s="316"/>
      <c r="EZ14" s="316"/>
      <c r="FA14" s="316"/>
      <c r="FB14" s="316"/>
      <c r="FC14" s="316"/>
      <c r="FD14" s="316"/>
      <c r="FE14" s="316"/>
      <c r="FF14" s="316"/>
      <c r="FG14" s="316"/>
      <c r="FH14" s="316"/>
      <c r="FI14" s="316"/>
      <c r="FJ14" s="316"/>
      <c r="FK14" s="316"/>
      <c r="FL14" s="316"/>
      <c r="FM14" s="316"/>
      <c r="FN14" s="316"/>
      <c r="FO14" s="316"/>
      <c r="FP14" s="316"/>
      <c r="FQ14" s="316"/>
      <c r="FR14" s="316"/>
      <c r="FS14" s="316"/>
      <c r="FT14" s="316"/>
      <c r="FU14" s="316"/>
      <c r="FV14" s="316"/>
      <c r="FW14" s="316"/>
      <c r="FX14" s="316"/>
      <c r="FY14" s="316"/>
      <c r="FZ14" s="316"/>
      <c r="GA14" s="316"/>
      <c r="GB14" s="316"/>
      <c r="GC14" s="316"/>
      <c r="GD14" s="316"/>
      <c r="GE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row>
    <row r="15" spans="1:272">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316"/>
      <c r="EH15" s="316"/>
      <c r="EI15" s="316"/>
      <c r="EJ15" s="316"/>
      <c r="EK15" s="316"/>
      <c r="EL15" s="316"/>
      <c r="EM15" s="316"/>
      <c r="EN15" s="316"/>
      <c r="EO15" s="316"/>
      <c r="EP15" s="316"/>
      <c r="EQ15" s="316"/>
      <c r="ER15" s="316"/>
      <c r="ES15" s="316"/>
      <c r="ET15" s="316"/>
      <c r="EU15" s="316"/>
      <c r="EV15" s="316"/>
      <c r="EW15" s="316"/>
      <c r="EX15" s="316"/>
      <c r="EY15" s="316"/>
      <c r="EZ15" s="316"/>
      <c r="FA15" s="316"/>
      <c r="FB15" s="316"/>
      <c r="FC15" s="316"/>
      <c r="FD15" s="316"/>
      <c r="FE15" s="316"/>
      <c r="FF15" s="316"/>
      <c r="FG15" s="316"/>
      <c r="FH15" s="316"/>
      <c r="FI15" s="316"/>
      <c r="FJ15" s="316"/>
      <c r="FK15" s="316"/>
      <c r="FL15" s="316"/>
      <c r="FM15" s="316"/>
      <c r="FN15" s="316"/>
      <c r="FO15" s="316"/>
      <c r="FP15" s="316"/>
      <c r="FQ15" s="316"/>
      <c r="FR15" s="316"/>
      <c r="FS15" s="316"/>
      <c r="FT15" s="316"/>
      <c r="FU15" s="316"/>
      <c r="FV15" s="316"/>
      <c r="FW15" s="316"/>
      <c r="FX15" s="316"/>
      <c r="FY15" s="316"/>
      <c r="FZ15" s="316"/>
      <c r="GA15" s="316"/>
      <c r="GB15" s="316"/>
      <c r="GC15" s="316"/>
      <c r="GD15" s="316"/>
      <c r="GE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row>
    <row r="16" spans="1:272">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c r="FO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row>
    <row r="17" spans="1:272">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316"/>
      <c r="FI17" s="316"/>
      <c r="FJ17" s="316"/>
      <c r="FK17" s="316"/>
      <c r="FL17" s="316"/>
      <c r="FM17" s="316"/>
      <c r="FN17" s="316"/>
      <c r="FO17" s="316"/>
      <c r="FP17" s="316"/>
      <c r="FQ17" s="316"/>
      <c r="FR17" s="316"/>
      <c r="FS17" s="316"/>
      <c r="FT17" s="316"/>
      <c r="FU17" s="316"/>
      <c r="FV17" s="316"/>
      <c r="FW17" s="316"/>
      <c r="FX17" s="316"/>
      <c r="FY17" s="316"/>
      <c r="FZ17" s="316"/>
      <c r="GA17" s="316"/>
      <c r="GB17" s="316"/>
      <c r="GC17" s="316"/>
      <c r="GD17" s="316"/>
      <c r="GE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c r="IW17" s="316"/>
      <c r="IX17" s="316"/>
      <c r="IY17" s="316"/>
      <c r="IZ17" s="316"/>
      <c r="JA17" s="316"/>
      <c r="JB17" s="316"/>
      <c r="JC17" s="316"/>
      <c r="JD17" s="316"/>
      <c r="JE17" s="316"/>
      <c r="JF17" s="316"/>
      <c r="JG17" s="316"/>
      <c r="JH17" s="316"/>
      <c r="JI17" s="316"/>
      <c r="JJ17" s="316"/>
      <c r="JK17" s="316"/>
      <c r="JL17" s="316"/>
    </row>
    <row r="18" spans="1:272">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316"/>
      <c r="EH18" s="316"/>
      <c r="EI18" s="316"/>
      <c r="EJ18" s="316"/>
      <c r="EK18" s="316"/>
      <c r="EL18" s="316"/>
      <c r="EM18" s="316"/>
      <c r="EN18" s="316"/>
      <c r="EO18" s="316"/>
      <c r="EP18" s="316"/>
      <c r="EQ18" s="316"/>
      <c r="ER18" s="316"/>
      <c r="ES18" s="316"/>
      <c r="ET18" s="316"/>
      <c r="EU18" s="316"/>
      <c r="EV18" s="316"/>
      <c r="EW18" s="316"/>
      <c r="EX18" s="316"/>
      <c r="EY18" s="316"/>
      <c r="EZ18" s="316"/>
      <c r="FA18" s="316"/>
      <c r="FB18" s="316"/>
      <c r="FC18" s="316"/>
      <c r="FD18" s="316"/>
      <c r="FE18" s="316"/>
      <c r="FF18" s="316"/>
      <c r="FG18" s="316"/>
      <c r="FH18" s="316"/>
      <c r="FI18" s="316"/>
      <c r="FJ18" s="316"/>
      <c r="FK18" s="316"/>
      <c r="FL18" s="316"/>
      <c r="FM18" s="316"/>
      <c r="FN18" s="316"/>
      <c r="FO18" s="316"/>
      <c r="FP18" s="316"/>
      <c r="FQ18" s="316"/>
      <c r="FR18" s="316"/>
      <c r="FS18" s="316"/>
      <c r="FT18" s="316"/>
      <c r="FU18" s="316"/>
      <c r="FV18" s="316"/>
      <c r="FW18" s="316"/>
      <c r="FX18" s="316"/>
      <c r="FY18" s="316"/>
      <c r="FZ18" s="316"/>
      <c r="GA18" s="316"/>
      <c r="GB18" s="316"/>
      <c r="GC18" s="316"/>
      <c r="GD18" s="316"/>
      <c r="GE18" s="316"/>
      <c r="GF18" s="316"/>
      <c r="GG18" s="316"/>
      <c r="GH18" s="316"/>
      <c r="GI18" s="316"/>
      <c r="GJ18" s="316"/>
      <c r="GK18" s="316"/>
      <c r="GL18" s="316"/>
      <c r="GM18" s="316"/>
      <c r="GN18" s="316"/>
      <c r="GO18" s="316"/>
      <c r="GP18" s="316"/>
      <c r="GQ18" s="316"/>
      <c r="GR18" s="316"/>
      <c r="GS18" s="316"/>
      <c r="GT18" s="316"/>
      <c r="GU18" s="316"/>
      <c r="GV18" s="316"/>
      <c r="GW18" s="316"/>
      <c r="GX18" s="316"/>
      <c r="GY18" s="316"/>
      <c r="GZ18" s="316"/>
      <c r="HA18" s="316"/>
      <c r="HB18" s="316"/>
      <c r="HC18" s="316"/>
      <c r="HD18" s="316"/>
      <c r="HE18" s="316"/>
      <c r="HF18" s="316"/>
      <c r="HG18" s="316"/>
      <c r="HH18" s="316"/>
      <c r="HI18" s="316"/>
      <c r="HJ18" s="316"/>
      <c r="HK18" s="316"/>
      <c r="HL18" s="316"/>
      <c r="HM18" s="316"/>
      <c r="HN18" s="316"/>
      <c r="HO18" s="316"/>
      <c r="HP18" s="316"/>
      <c r="HQ18" s="316"/>
      <c r="HR18" s="316"/>
      <c r="HS18" s="316"/>
      <c r="HT18" s="316"/>
      <c r="HU18" s="316"/>
      <c r="HV18" s="316"/>
      <c r="HW18" s="316"/>
      <c r="HX18" s="316"/>
      <c r="HY18" s="316"/>
      <c r="HZ18" s="316"/>
      <c r="IA18" s="316"/>
      <c r="IB18" s="316"/>
      <c r="IC18" s="316"/>
      <c r="ID18" s="316"/>
      <c r="IE18" s="316"/>
      <c r="IF18" s="316"/>
      <c r="IG18" s="316"/>
      <c r="IH18" s="316"/>
      <c r="II18" s="316"/>
      <c r="IJ18" s="316"/>
      <c r="IK18" s="316"/>
      <c r="IL18" s="316"/>
      <c r="IM18" s="316"/>
      <c r="IN18" s="316"/>
      <c r="IO18" s="316"/>
      <c r="IP18" s="316"/>
      <c r="IQ18" s="316"/>
      <c r="IR18" s="316"/>
      <c r="IS18" s="316"/>
      <c r="IT18" s="316"/>
      <c r="IU18" s="316"/>
      <c r="IV18" s="316"/>
      <c r="IW18" s="316"/>
      <c r="IX18" s="316"/>
      <c r="IY18" s="316"/>
      <c r="IZ18" s="316"/>
      <c r="JA18" s="316"/>
      <c r="JB18" s="316"/>
      <c r="JC18" s="316"/>
      <c r="JD18" s="316"/>
      <c r="JE18" s="316"/>
      <c r="JF18" s="316"/>
      <c r="JG18" s="316"/>
      <c r="JH18" s="316"/>
      <c r="JI18" s="316"/>
      <c r="JJ18" s="316"/>
      <c r="JK18" s="316"/>
      <c r="JL18" s="316"/>
    </row>
    <row r="19" spans="1:272">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316"/>
      <c r="EH19" s="316"/>
      <c r="EI19" s="316"/>
      <c r="EJ19" s="316"/>
      <c r="EK19" s="316"/>
      <c r="EL19" s="316"/>
      <c r="EM19" s="316"/>
      <c r="EN19" s="316"/>
      <c r="EO19" s="316"/>
      <c r="EP19" s="316"/>
      <c r="EQ19" s="316"/>
      <c r="ER19" s="316"/>
      <c r="ES19" s="316"/>
      <c r="ET19" s="316"/>
      <c r="EU19" s="316"/>
      <c r="EV19" s="316"/>
      <c r="EW19" s="316"/>
      <c r="EX19" s="316"/>
      <c r="EY19" s="316"/>
      <c r="EZ19" s="316"/>
      <c r="FA19" s="316"/>
      <c r="FB19" s="316"/>
      <c r="FC19" s="316"/>
      <c r="FD19" s="316"/>
      <c r="FE19" s="316"/>
      <c r="FF19" s="316"/>
      <c r="FG19" s="316"/>
      <c r="FH19" s="316"/>
      <c r="FI19" s="316"/>
      <c r="FJ19" s="316"/>
      <c r="FK19" s="316"/>
      <c r="FL19" s="316"/>
      <c r="FM19" s="316"/>
      <c r="FN19" s="316"/>
      <c r="FO19" s="316"/>
      <c r="FP19" s="316"/>
      <c r="FQ19" s="316"/>
      <c r="FR19" s="316"/>
      <c r="FS19" s="316"/>
      <c r="FT19" s="316"/>
      <c r="FU19" s="316"/>
      <c r="FV19" s="316"/>
      <c r="FW19" s="316"/>
      <c r="FX19" s="316"/>
      <c r="FY19" s="316"/>
      <c r="FZ19" s="316"/>
      <c r="GA19" s="316"/>
      <c r="GB19" s="316"/>
      <c r="GC19" s="316"/>
      <c r="GD19" s="316"/>
      <c r="GE19" s="316"/>
      <c r="GF19" s="316"/>
      <c r="GG19" s="316"/>
      <c r="GH19" s="316"/>
      <c r="GI19" s="316"/>
      <c r="GJ19" s="316"/>
      <c r="GK19" s="316"/>
      <c r="GL19" s="316"/>
      <c r="GM19" s="316"/>
      <c r="GN19" s="316"/>
      <c r="GO19" s="316"/>
      <c r="GP19" s="316"/>
      <c r="GQ19" s="316"/>
      <c r="GR19" s="316"/>
      <c r="GS19" s="316"/>
      <c r="GT19" s="316"/>
      <c r="GU19" s="316"/>
      <c r="GV19" s="316"/>
      <c r="GW19" s="316"/>
      <c r="GX19" s="316"/>
      <c r="GY19" s="316"/>
      <c r="GZ19" s="316"/>
      <c r="HA19" s="316"/>
      <c r="HB19" s="316"/>
      <c r="HC19" s="316"/>
      <c r="HD19" s="316"/>
      <c r="HE19" s="316"/>
      <c r="HF19" s="316"/>
      <c r="HG19" s="316"/>
      <c r="HH19" s="316"/>
      <c r="HI19" s="316"/>
      <c r="HJ19" s="316"/>
      <c r="HK19" s="316"/>
      <c r="HL19" s="316"/>
      <c r="HM19" s="316"/>
      <c r="HN19" s="316"/>
      <c r="HO19" s="316"/>
      <c r="HP19" s="316"/>
      <c r="HQ19" s="316"/>
      <c r="HR19" s="316"/>
      <c r="HS19" s="316"/>
      <c r="HT19" s="316"/>
      <c r="HU19" s="316"/>
      <c r="HV19" s="316"/>
      <c r="HW19" s="316"/>
      <c r="HX19" s="316"/>
      <c r="HY19" s="316"/>
      <c r="HZ19" s="316"/>
      <c r="IA19" s="316"/>
      <c r="IB19" s="316"/>
      <c r="IC19" s="316"/>
      <c r="ID19" s="316"/>
      <c r="IE19" s="316"/>
      <c r="IF19" s="316"/>
      <c r="IG19" s="316"/>
      <c r="IH19" s="316"/>
      <c r="II19" s="316"/>
      <c r="IJ19" s="316"/>
      <c r="IK19" s="316"/>
      <c r="IL19" s="316"/>
      <c r="IM19" s="316"/>
      <c r="IN19" s="316"/>
      <c r="IO19" s="316"/>
      <c r="IP19" s="316"/>
      <c r="IQ19" s="316"/>
      <c r="IR19" s="316"/>
      <c r="IS19" s="316"/>
      <c r="IT19" s="316"/>
      <c r="IU19" s="316"/>
      <c r="IV19" s="316"/>
      <c r="IW19" s="316"/>
      <c r="IX19" s="316"/>
      <c r="IY19" s="316"/>
      <c r="IZ19" s="316"/>
      <c r="JA19" s="316"/>
      <c r="JB19" s="316"/>
      <c r="JC19" s="316"/>
      <c r="JD19" s="316"/>
      <c r="JE19" s="316"/>
      <c r="JF19" s="316"/>
      <c r="JG19" s="316"/>
      <c r="JH19" s="316"/>
      <c r="JI19" s="316"/>
      <c r="JJ19" s="316"/>
      <c r="JK19" s="316"/>
      <c r="JL19" s="316"/>
    </row>
    <row r="20" spans="1:272">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316"/>
      <c r="EH20" s="316"/>
      <c r="EI20" s="316"/>
      <c r="EJ20" s="316"/>
      <c r="EK20" s="316"/>
      <c r="EL20" s="316"/>
      <c r="EM20" s="316"/>
      <c r="EN20" s="316"/>
      <c r="EO20" s="316"/>
      <c r="EP20" s="316"/>
      <c r="EQ20" s="316"/>
      <c r="ER20" s="316"/>
      <c r="ES20" s="316"/>
      <c r="ET20" s="316"/>
      <c r="EU20" s="316"/>
      <c r="EV20" s="316"/>
      <c r="EW20" s="316"/>
      <c r="EX20" s="316"/>
      <c r="EY20" s="316"/>
      <c r="EZ20" s="316"/>
      <c r="FA20" s="316"/>
      <c r="FB20" s="316"/>
      <c r="FC20" s="316"/>
      <c r="FD20" s="316"/>
      <c r="FE20" s="316"/>
      <c r="FF20" s="316"/>
      <c r="FG20" s="316"/>
      <c r="FH20" s="316"/>
      <c r="FI20" s="316"/>
      <c r="FJ20" s="316"/>
      <c r="FK20" s="316"/>
      <c r="FL20" s="316"/>
      <c r="FM20" s="316"/>
      <c r="FN20" s="316"/>
      <c r="FO20" s="316"/>
      <c r="FP20" s="316"/>
      <c r="FQ20" s="316"/>
      <c r="FR20" s="316"/>
      <c r="FS20" s="316"/>
      <c r="FT20" s="316"/>
      <c r="FU20" s="316"/>
      <c r="FV20" s="316"/>
      <c r="FW20" s="316"/>
      <c r="FX20" s="316"/>
      <c r="FY20" s="316"/>
      <c r="FZ20" s="316"/>
      <c r="GA20" s="316"/>
      <c r="GB20" s="316"/>
      <c r="GC20" s="316"/>
      <c r="GD20" s="316"/>
      <c r="GE20" s="316"/>
      <c r="GF20" s="316"/>
      <c r="GG20" s="316"/>
      <c r="GH20" s="316"/>
      <c r="GI20" s="316"/>
      <c r="GJ20" s="316"/>
      <c r="GK20" s="316"/>
      <c r="GL20" s="316"/>
      <c r="GM20" s="316"/>
      <c r="GN20" s="316"/>
      <c r="GO20" s="316"/>
      <c r="GP20" s="316"/>
      <c r="GQ20" s="316"/>
      <c r="GR20" s="316"/>
      <c r="GS20" s="316"/>
      <c r="GT20" s="316"/>
      <c r="GU20" s="316"/>
      <c r="GV20" s="316"/>
      <c r="GW20" s="316"/>
      <c r="GX20" s="316"/>
      <c r="GY20" s="316"/>
      <c r="GZ20" s="316"/>
      <c r="HA20" s="316"/>
      <c r="HB20" s="316"/>
      <c r="HC20" s="316"/>
      <c r="HD20" s="316"/>
      <c r="HE20" s="316"/>
      <c r="HF20" s="316"/>
      <c r="HG20" s="316"/>
      <c r="HH20" s="316"/>
      <c r="HI20" s="316"/>
      <c r="HJ20" s="316"/>
      <c r="HK20" s="316"/>
      <c r="HL20" s="316"/>
      <c r="HM20" s="316"/>
      <c r="HN20" s="316"/>
      <c r="HO20" s="316"/>
      <c r="HP20" s="316"/>
      <c r="HQ20" s="316"/>
      <c r="HR20" s="316"/>
      <c r="HS20" s="316"/>
      <c r="HT20" s="316"/>
      <c r="HU20" s="316"/>
      <c r="HV20" s="316"/>
      <c r="HW20" s="316"/>
      <c r="HX20" s="316"/>
      <c r="HY20" s="316"/>
      <c r="HZ20" s="316"/>
      <c r="IA20" s="316"/>
      <c r="IB20" s="316"/>
      <c r="IC20" s="316"/>
      <c r="ID20" s="316"/>
      <c r="IE20" s="316"/>
      <c r="IF20" s="316"/>
      <c r="IG20" s="316"/>
      <c r="IH20" s="316"/>
      <c r="II20" s="316"/>
      <c r="IJ20" s="316"/>
      <c r="IK20" s="316"/>
      <c r="IL20" s="316"/>
      <c r="IM20" s="316"/>
      <c r="IN20" s="316"/>
      <c r="IO20" s="316"/>
      <c r="IP20" s="316"/>
      <c r="IQ20" s="316"/>
      <c r="IR20" s="316"/>
      <c r="IS20" s="316"/>
      <c r="IT20" s="316"/>
      <c r="IU20" s="316"/>
      <c r="IV20" s="316"/>
      <c r="IW20" s="316"/>
      <c r="IX20" s="316"/>
      <c r="IY20" s="316"/>
      <c r="IZ20" s="316"/>
      <c r="JA20" s="316"/>
      <c r="JB20" s="316"/>
      <c r="JC20" s="316"/>
      <c r="JD20" s="316"/>
      <c r="JE20" s="316"/>
      <c r="JF20" s="316"/>
      <c r="JG20" s="316"/>
      <c r="JH20" s="316"/>
      <c r="JI20" s="316"/>
      <c r="JJ20" s="316"/>
      <c r="JK20" s="316"/>
      <c r="JL20" s="316"/>
    </row>
    <row r="21" spans="1:272">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316"/>
      <c r="EH21" s="316"/>
      <c r="EI21" s="316"/>
      <c r="EJ21" s="316"/>
      <c r="EK21" s="316"/>
      <c r="EL21" s="316"/>
      <c r="EM21" s="316"/>
      <c r="EN21" s="316"/>
      <c r="EO21" s="316"/>
      <c r="EP21" s="316"/>
      <c r="EQ21" s="316"/>
      <c r="ER21" s="316"/>
      <c r="ES21" s="316"/>
      <c r="ET21" s="316"/>
      <c r="EU21" s="316"/>
      <c r="EV21" s="316"/>
      <c r="EW21" s="316"/>
      <c r="EX21" s="316"/>
      <c r="EY21" s="316"/>
      <c r="EZ21" s="316"/>
      <c r="FA21" s="316"/>
      <c r="FB21" s="316"/>
      <c r="FC21" s="316"/>
      <c r="FD21" s="316"/>
      <c r="FE21" s="316"/>
      <c r="FF21" s="316"/>
      <c r="FG21" s="316"/>
      <c r="FH21" s="316"/>
      <c r="FI21" s="316"/>
      <c r="FJ21" s="316"/>
      <c r="FK21" s="316"/>
      <c r="FL21" s="316"/>
      <c r="FM21" s="316"/>
      <c r="FN21" s="316"/>
      <c r="FO21" s="316"/>
      <c r="FP21" s="316"/>
      <c r="FQ21" s="316"/>
      <c r="FR21" s="316"/>
      <c r="FS21" s="316"/>
      <c r="FT21" s="316"/>
      <c r="FU21" s="316"/>
      <c r="FV21" s="316"/>
      <c r="FW21" s="316"/>
      <c r="FX21" s="316"/>
      <c r="FY21" s="316"/>
      <c r="FZ21" s="316"/>
      <c r="GA21" s="316"/>
      <c r="GB21" s="316"/>
      <c r="GC21" s="316"/>
      <c r="GD21" s="316"/>
      <c r="GE21" s="316"/>
      <c r="GF21" s="316"/>
      <c r="GG21" s="316"/>
      <c r="GH21" s="316"/>
      <c r="GI21" s="316"/>
      <c r="GJ21" s="316"/>
      <c r="GK21" s="316"/>
      <c r="GL21" s="316"/>
      <c r="GM21" s="316"/>
      <c r="GN21" s="316"/>
      <c r="GO21" s="316"/>
      <c r="GP21" s="316"/>
      <c r="GQ21" s="316"/>
      <c r="GR21" s="316"/>
      <c r="GS21" s="316"/>
      <c r="GT21" s="316"/>
      <c r="GU21" s="316"/>
      <c r="GV21" s="316"/>
      <c r="GW21" s="316"/>
      <c r="GX21" s="316"/>
      <c r="GY21" s="316"/>
      <c r="GZ21" s="316"/>
      <c r="HA21" s="316"/>
      <c r="HB21" s="316"/>
      <c r="HC21" s="316"/>
      <c r="HD21" s="316"/>
      <c r="HE21" s="316"/>
      <c r="HF21" s="316"/>
      <c r="HG21" s="316"/>
      <c r="HH21" s="316"/>
      <c r="HI21" s="316"/>
      <c r="HJ21" s="316"/>
      <c r="HK21" s="316"/>
      <c r="HL21" s="316"/>
      <c r="HM21" s="316"/>
      <c r="HN21" s="316"/>
      <c r="HO21" s="316"/>
      <c r="HP21" s="316"/>
      <c r="HQ21" s="316"/>
      <c r="HR21" s="316"/>
      <c r="HS21" s="316"/>
      <c r="HT21" s="316"/>
      <c r="HU21" s="316"/>
      <c r="HV21" s="316"/>
      <c r="HW21" s="316"/>
      <c r="HX21" s="316"/>
      <c r="HY21" s="316"/>
      <c r="HZ21" s="316"/>
      <c r="IA21" s="316"/>
      <c r="IB21" s="316"/>
      <c r="IC21" s="316"/>
      <c r="ID21" s="316"/>
      <c r="IE21" s="316"/>
      <c r="IF21" s="316"/>
      <c r="IG21" s="316"/>
      <c r="IH21" s="316"/>
      <c r="II21" s="316"/>
      <c r="IJ21" s="316"/>
      <c r="IK21" s="316"/>
      <c r="IL21" s="316"/>
      <c r="IM21" s="316"/>
      <c r="IN21" s="316"/>
      <c r="IO21" s="316"/>
      <c r="IP21" s="316"/>
      <c r="IQ21" s="316"/>
      <c r="IR21" s="316"/>
      <c r="IS21" s="316"/>
      <c r="IT21" s="316"/>
      <c r="IU21" s="316"/>
      <c r="IV21" s="316"/>
      <c r="IW21" s="316"/>
      <c r="IX21" s="316"/>
      <c r="IY21" s="316"/>
      <c r="IZ21" s="316"/>
      <c r="JA21" s="316"/>
      <c r="JB21" s="316"/>
      <c r="JC21" s="316"/>
      <c r="JD21" s="316"/>
      <c r="JE21" s="316"/>
      <c r="JF21" s="316"/>
      <c r="JG21" s="316"/>
      <c r="JH21" s="316"/>
      <c r="JI21" s="316"/>
      <c r="JJ21" s="316"/>
      <c r="JK21" s="316"/>
      <c r="JL21" s="316"/>
    </row>
    <row r="22" spans="1:272">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316"/>
      <c r="EH22" s="316"/>
      <c r="EI22" s="316"/>
      <c r="EJ22" s="316"/>
      <c r="EK22" s="316"/>
      <c r="EL22" s="316"/>
      <c r="EM22" s="316"/>
      <c r="EN22" s="316"/>
      <c r="EO22" s="316"/>
      <c r="EP22" s="316"/>
      <c r="EQ22" s="316"/>
      <c r="ER22" s="316"/>
      <c r="ES22" s="316"/>
      <c r="ET22" s="316"/>
      <c r="EU22" s="316"/>
      <c r="EV22" s="316"/>
      <c r="EW22" s="316"/>
      <c r="EX22" s="316"/>
      <c r="EY22" s="316"/>
      <c r="EZ22" s="316"/>
      <c r="FA22" s="316"/>
      <c r="FB22" s="316"/>
      <c r="FC22" s="316"/>
      <c r="FD22" s="316"/>
      <c r="FE22" s="316"/>
      <c r="FF22" s="316"/>
      <c r="FG22" s="316"/>
      <c r="FH22" s="316"/>
      <c r="FI22" s="316"/>
      <c r="FJ22" s="316"/>
      <c r="FK22" s="316"/>
      <c r="FL22" s="316"/>
      <c r="FM22" s="316"/>
      <c r="FN22" s="316"/>
      <c r="FO22" s="316"/>
      <c r="FP22" s="316"/>
      <c r="FQ22" s="316"/>
      <c r="FR22" s="316"/>
      <c r="FS22" s="316"/>
      <c r="FT22" s="316"/>
      <c r="FU22" s="316"/>
      <c r="FV22" s="316"/>
      <c r="FW22" s="316"/>
      <c r="FX22" s="316"/>
      <c r="FY22" s="316"/>
      <c r="FZ22" s="316"/>
      <c r="GA22" s="316"/>
      <c r="GB22" s="316"/>
      <c r="GC22" s="316"/>
      <c r="GD22" s="316"/>
      <c r="GE22" s="316"/>
      <c r="GF22" s="316"/>
      <c r="GG22" s="316"/>
      <c r="GH22" s="316"/>
      <c r="GI22" s="316"/>
      <c r="GJ22" s="316"/>
      <c r="GK22" s="316"/>
      <c r="GL22" s="316"/>
      <c r="GM22" s="316"/>
      <c r="GN22" s="316"/>
      <c r="GO22" s="316"/>
      <c r="GP22" s="316"/>
      <c r="GQ22" s="316"/>
      <c r="GR22" s="316"/>
      <c r="GS22" s="316"/>
      <c r="GT22" s="316"/>
      <c r="GU22" s="316"/>
      <c r="GV22" s="316"/>
      <c r="GW22" s="316"/>
      <c r="GX22" s="316"/>
      <c r="GY22" s="316"/>
      <c r="GZ22" s="316"/>
      <c r="HA22" s="316"/>
      <c r="HB22" s="316"/>
      <c r="HC22" s="316"/>
      <c r="HD22" s="316"/>
      <c r="HE22" s="316"/>
      <c r="HF22" s="316"/>
      <c r="HG22" s="316"/>
      <c r="HH22" s="316"/>
      <c r="HI22" s="316"/>
      <c r="HJ22" s="316"/>
      <c r="HK22" s="316"/>
      <c r="HL22" s="316"/>
      <c r="HM22" s="316"/>
      <c r="HN22" s="316"/>
      <c r="HO22" s="316"/>
      <c r="HP22" s="316"/>
      <c r="HQ22" s="316"/>
      <c r="HR22" s="316"/>
      <c r="HS22" s="316"/>
      <c r="HT22" s="316"/>
      <c r="HU22" s="316"/>
      <c r="HV22" s="316"/>
      <c r="HW22" s="316"/>
      <c r="HX22" s="316"/>
      <c r="HY22" s="316"/>
      <c r="HZ22" s="316"/>
      <c r="IA22" s="316"/>
      <c r="IB22" s="316"/>
      <c r="IC22" s="316"/>
      <c r="ID22" s="316"/>
      <c r="IE22" s="316"/>
      <c r="IF22" s="316"/>
      <c r="IG22" s="316"/>
      <c r="IH22" s="316"/>
      <c r="II22" s="316"/>
      <c r="IJ22" s="316"/>
      <c r="IK22" s="316"/>
      <c r="IL22" s="316"/>
      <c r="IM22" s="316"/>
      <c r="IN22" s="316"/>
      <c r="IO22" s="316"/>
      <c r="IP22" s="316"/>
      <c r="IQ22" s="316"/>
      <c r="IR22" s="316"/>
      <c r="IS22" s="316"/>
      <c r="IT22" s="316"/>
      <c r="IU22" s="316"/>
      <c r="IV22" s="316"/>
      <c r="IW22" s="316"/>
      <c r="IX22" s="316"/>
      <c r="IY22" s="316"/>
      <c r="IZ22" s="316"/>
      <c r="JA22" s="316"/>
      <c r="JB22" s="316"/>
      <c r="JC22" s="316"/>
      <c r="JD22" s="316"/>
      <c r="JE22" s="316"/>
      <c r="JF22" s="316"/>
      <c r="JG22" s="316"/>
      <c r="JH22" s="316"/>
      <c r="JI22" s="316"/>
      <c r="JJ22" s="316"/>
      <c r="JK22" s="316"/>
      <c r="JL22" s="316"/>
    </row>
    <row r="23" spans="1:272">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316"/>
      <c r="EH23" s="316"/>
      <c r="EI23" s="316"/>
      <c r="EJ23" s="316"/>
      <c r="EK23" s="316"/>
      <c r="EL23" s="316"/>
      <c r="EM23" s="316"/>
      <c r="EN23" s="316"/>
      <c r="EO23" s="316"/>
      <c r="EP23" s="316"/>
      <c r="EQ23" s="316"/>
      <c r="ER23" s="316"/>
      <c r="ES23" s="316"/>
      <c r="ET23" s="316"/>
      <c r="EU23" s="316"/>
      <c r="EV23" s="316"/>
      <c r="EW23" s="316"/>
      <c r="EX23" s="316"/>
      <c r="EY23" s="316"/>
      <c r="EZ23" s="316"/>
      <c r="FA23" s="316"/>
      <c r="FB23" s="316"/>
      <c r="FC23" s="316"/>
      <c r="FD23" s="316"/>
      <c r="FE23" s="316"/>
      <c r="FF23" s="316"/>
      <c r="FG23" s="316"/>
      <c r="FH23" s="316"/>
      <c r="FI23" s="316"/>
      <c r="FJ23" s="316"/>
      <c r="FK23" s="316"/>
      <c r="FL23" s="316"/>
      <c r="FM23" s="316"/>
      <c r="FN23" s="316"/>
      <c r="FO23" s="316"/>
      <c r="FP23" s="316"/>
      <c r="FQ23" s="316"/>
      <c r="FR23" s="316"/>
      <c r="FS23" s="316"/>
      <c r="FT23" s="316"/>
      <c r="FU23" s="316"/>
      <c r="FV23" s="316"/>
      <c r="FW23" s="316"/>
      <c r="FX23" s="316"/>
      <c r="FY23" s="316"/>
      <c r="FZ23" s="316"/>
      <c r="GA23" s="316"/>
      <c r="GB23" s="316"/>
      <c r="GC23" s="316"/>
      <c r="GD23" s="316"/>
      <c r="GE23" s="316"/>
      <c r="GF23" s="316"/>
      <c r="GG23" s="316"/>
      <c r="GH23" s="316"/>
      <c r="GI23" s="316"/>
      <c r="GJ23" s="316"/>
      <c r="GK23" s="316"/>
      <c r="GL23" s="316"/>
      <c r="GM23" s="316"/>
      <c r="GN23" s="316"/>
      <c r="GO23" s="316"/>
      <c r="GP23" s="316"/>
      <c r="GQ23" s="316"/>
      <c r="GR23" s="316"/>
      <c r="GS23" s="316"/>
      <c r="GT23" s="316"/>
      <c r="GU23" s="316"/>
      <c r="GV23" s="316"/>
      <c r="GW23" s="316"/>
      <c r="GX23" s="316"/>
      <c r="GY23" s="316"/>
      <c r="GZ23" s="316"/>
      <c r="HA23" s="316"/>
      <c r="HB23" s="316"/>
      <c r="HC23" s="316"/>
      <c r="HD23" s="316"/>
      <c r="HE23" s="316"/>
      <c r="HF23" s="316"/>
      <c r="HG23" s="316"/>
      <c r="HH23" s="316"/>
      <c r="HI23" s="316"/>
      <c r="HJ23" s="316"/>
      <c r="HK23" s="316"/>
      <c r="HL23" s="316"/>
      <c r="HM23" s="316"/>
      <c r="HN23" s="316"/>
      <c r="HO23" s="316"/>
      <c r="HP23" s="316"/>
      <c r="HQ23" s="316"/>
      <c r="HR23" s="316"/>
      <c r="HS23" s="316"/>
      <c r="HT23" s="316"/>
      <c r="HU23" s="316"/>
      <c r="HV23" s="316"/>
      <c r="HW23" s="316"/>
      <c r="HX23" s="316"/>
      <c r="HY23" s="316"/>
      <c r="HZ23" s="316"/>
      <c r="IA23" s="316"/>
      <c r="IB23" s="316"/>
      <c r="IC23" s="316"/>
      <c r="ID23" s="316"/>
      <c r="IE23" s="316"/>
      <c r="IF23" s="316"/>
      <c r="IG23" s="316"/>
      <c r="IH23" s="316"/>
      <c r="II23" s="316"/>
      <c r="IJ23" s="316"/>
      <c r="IK23" s="316"/>
      <c r="IL23" s="316"/>
      <c r="IM23" s="316"/>
      <c r="IN23" s="316"/>
      <c r="IO23" s="316"/>
      <c r="IP23" s="316"/>
      <c r="IQ23" s="316"/>
      <c r="IR23" s="316"/>
      <c r="IS23" s="316"/>
      <c r="IT23" s="316"/>
      <c r="IU23" s="316"/>
      <c r="IV23" s="316"/>
      <c r="IW23" s="316"/>
      <c r="IX23" s="316"/>
      <c r="IY23" s="316"/>
      <c r="IZ23" s="316"/>
      <c r="JA23" s="316"/>
      <c r="JB23" s="316"/>
      <c r="JC23" s="316"/>
      <c r="JD23" s="316"/>
      <c r="JE23" s="316"/>
      <c r="JF23" s="316"/>
      <c r="JG23" s="316"/>
      <c r="JH23" s="316"/>
      <c r="JI23" s="316"/>
      <c r="JJ23" s="316"/>
      <c r="JK23" s="316"/>
      <c r="JL23" s="316"/>
    </row>
    <row r="24" spans="1:272">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316"/>
      <c r="EH24" s="316"/>
      <c r="EI24" s="316"/>
      <c r="EJ24" s="316"/>
      <c r="EK24" s="316"/>
      <c r="EL24" s="316"/>
      <c r="EM24" s="316"/>
      <c r="EN24" s="316"/>
      <c r="EO24" s="316"/>
      <c r="EP24" s="316"/>
      <c r="EQ24" s="316"/>
      <c r="ER24" s="316"/>
      <c r="ES24" s="316"/>
      <c r="ET24" s="316"/>
      <c r="EU24" s="316"/>
      <c r="EV24" s="316"/>
      <c r="EW24" s="316"/>
      <c r="EX24" s="316"/>
      <c r="EY24" s="316"/>
      <c r="EZ24" s="316"/>
      <c r="FA24" s="316"/>
      <c r="FB24" s="316"/>
      <c r="FC24" s="316"/>
      <c r="FD24" s="316"/>
      <c r="FE24" s="316"/>
      <c r="FF24" s="316"/>
      <c r="FG24" s="316"/>
      <c r="FH24" s="316"/>
      <c r="FI24" s="316"/>
      <c r="FJ24" s="316"/>
      <c r="FK24" s="316"/>
      <c r="FL24" s="316"/>
      <c r="FM24" s="316"/>
      <c r="FN24" s="316"/>
      <c r="FO24" s="316"/>
      <c r="FP24" s="316"/>
      <c r="FQ24" s="316"/>
      <c r="FR24" s="316"/>
      <c r="FS24" s="316"/>
      <c r="FT24" s="316"/>
      <c r="FU24" s="316"/>
      <c r="FV24" s="316"/>
      <c r="FW24" s="316"/>
      <c r="FX24" s="316"/>
      <c r="FY24" s="316"/>
      <c r="FZ24" s="316"/>
      <c r="GA24" s="316"/>
      <c r="GB24" s="316"/>
      <c r="GC24" s="316"/>
      <c r="GD24" s="316"/>
      <c r="GE24" s="316"/>
      <c r="GF24" s="316"/>
      <c r="GG24" s="316"/>
      <c r="GH24" s="316"/>
      <c r="GI24" s="316"/>
      <c r="GJ24" s="316"/>
      <c r="GK24" s="316"/>
      <c r="GL24" s="316"/>
      <c r="GM24" s="316"/>
      <c r="GN24" s="316"/>
      <c r="GO24" s="316"/>
      <c r="GP24" s="316"/>
      <c r="GQ24" s="316"/>
      <c r="GR24" s="316"/>
      <c r="GS24" s="316"/>
      <c r="GT24" s="316"/>
      <c r="GU24" s="316"/>
      <c r="GV24" s="316"/>
      <c r="GW24" s="316"/>
      <c r="GX24" s="316"/>
      <c r="GY24" s="316"/>
      <c r="GZ24" s="316"/>
      <c r="HA24" s="316"/>
      <c r="HB24" s="316"/>
      <c r="HC24" s="316"/>
      <c r="HD24" s="316"/>
      <c r="HE24" s="316"/>
      <c r="HF24" s="316"/>
      <c r="HG24" s="316"/>
      <c r="HH24" s="316"/>
      <c r="HI24" s="316"/>
      <c r="HJ24" s="316"/>
      <c r="HK24" s="316"/>
      <c r="HL24" s="316"/>
      <c r="HM24" s="316"/>
      <c r="HN24" s="316"/>
      <c r="HO24" s="316"/>
      <c r="HP24" s="316"/>
      <c r="HQ24" s="316"/>
      <c r="HR24" s="316"/>
      <c r="HS24" s="316"/>
      <c r="HT24" s="316"/>
      <c r="HU24" s="316"/>
      <c r="HV24" s="316"/>
      <c r="HW24" s="316"/>
      <c r="HX24" s="316"/>
      <c r="HY24" s="316"/>
      <c r="HZ24" s="316"/>
      <c r="IA24" s="316"/>
      <c r="IB24" s="316"/>
      <c r="IC24" s="316"/>
      <c r="ID24" s="316"/>
      <c r="IE24" s="316"/>
      <c r="IF24" s="316"/>
      <c r="IG24" s="316"/>
      <c r="IH24" s="316"/>
      <c r="II24" s="316"/>
      <c r="IJ24" s="316"/>
      <c r="IK24" s="316"/>
      <c r="IL24" s="316"/>
      <c r="IM24" s="316"/>
      <c r="IN24" s="316"/>
      <c r="IO24" s="316"/>
      <c r="IP24" s="316"/>
      <c r="IQ24" s="316"/>
      <c r="IR24" s="316"/>
      <c r="IS24" s="316"/>
      <c r="IT24" s="316"/>
      <c r="IU24" s="316"/>
      <c r="IV24" s="316"/>
      <c r="IW24" s="316"/>
      <c r="IX24" s="316"/>
      <c r="IY24" s="316"/>
      <c r="IZ24" s="316"/>
      <c r="JA24" s="316"/>
      <c r="JB24" s="316"/>
      <c r="JC24" s="316"/>
      <c r="JD24" s="316"/>
      <c r="JE24" s="316"/>
      <c r="JF24" s="316"/>
      <c r="JG24" s="316"/>
      <c r="JH24" s="316"/>
      <c r="JI24" s="316"/>
      <c r="JJ24" s="316"/>
      <c r="JK24" s="316"/>
      <c r="JL24" s="316"/>
    </row>
    <row r="25" spans="1:272">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316"/>
      <c r="EH25" s="316"/>
      <c r="EI25" s="316"/>
      <c r="EJ25" s="316"/>
      <c r="EK25" s="316"/>
      <c r="EL25" s="316"/>
      <c r="EM25" s="316"/>
      <c r="EN25" s="316"/>
      <c r="EO25" s="316"/>
      <c r="EP25" s="316"/>
      <c r="EQ25" s="316"/>
      <c r="ER25" s="316"/>
      <c r="ES25" s="316"/>
      <c r="ET25" s="316"/>
      <c r="EU25" s="316"/>
      <c r="EV25" s="316"/>
      <c r="EW25" s="316"/>
      <c r="EX25" s="316"/>
      <c r="EY25" s="316"/>
      <c r="EZ25" s="316"/>
      <c r="FA25" s="316"/>
      <c r="FB25" s="316"/>
      <c r="FC25" s="316"/>
      <c r="FD25" s="316"/>
      <c r="FE25" s="316"/>
      <c r="FF25" s="316"/>
      <c r="FG25" s="316"/>
      <c r="FH25" s="316"/>
      <c r="FI25" s="316"/>
      <c r="FJ25" s="316"/>
      <c r="FK25" s="316"/>
      <c r="FL25" s="316"/>
      <c r="FM25" s="316"/>
      <c r="FN25" s="316"/>
      <c r="FO25" s="316"/>
      <c r="FP25" s="316"/>
      <c r="FQ25" s="316"/>
      <c r="FR25" s="316"/>
      <c r="FS25" s="316"/>
      <c r="FT25" s="316"/>
      <c r="FU25" s="316"/>
      <c r="FV25" s="316"/>
      <c r="FW25" s="316"/>
      <c r="FX25" s="316"/>
      <c r="FY25" s="316"/>
      <c r="FZ25" s="316"/>
      <c r="GA25" s="316"/>
      <c r="GB25" s="316"/>
      <c r="GC25" s="316"/>
      <c r="GD25" s="316"/>
      <c r="GE25" s="316"/>
      <c r="GF25" s="316"/>
      <c r="GG25" s="316"/>
      <c r="GH25" s="316"/>
      <c r="GI25" s="316"/>
      <c r="GJ25" s="316"/>
      <c r="GK25" s="316"/>
      <c r="GL25" s="316"/>
      <c r="GM25" s="316"/>
      <c r="GN25" s="316"/>
      <c r="GO25" s="316"/>
      <c r="GP25" s="316"/>
      <c r="GQ25" s="316"/>
      <c r="GR25" s="316"/>
      <c r="GS25" s="316"/>
      <c r="GT25" s="316"/>
      <c r="GU25" s="316"/>
      <c r="GV25" s="316"/>
      <c r="GW25" s="316"/>
      <c r="GX25" s="316"/>
      <c r="GY25" s="316"/>
      <c r="GZ25" s="316"/>
      <c r="HA25" s="316"/>
      <c r="HB25" s="316"/>
      <c r="HC25" s="316"/>
      <c r="HD25" s="316"/>
      <c r="HE25" s="316"/>
      <c r="HF25" s="316"/>
      <c r="HG25" s="316"/>
      <c r="HH25" s="316"/>
      <c r="HI25" s="316"/>
      <c r="HJ25" s="316"/>
      <c r="HK25" s="316"/>
      <c r="HL25" s="316"/>
      <c r="HM25" s="316"/>
      <c r="HN25" s="316"/>
      <c r="HO25" s="316"/>
      <c r="HP25" s="316"/>
      <c r="HQ25" s="316"/>
      <c r="HR25" s="316"/>
      <c r="HS25" s="316"/>
      <c r="HT25" s="316"/>
      <c r="HU25" s="316"/>
      <c r="HV25" s="316"/>
      <c r="HW25" s="316"/>
      <c r="HX25" s="316"/>
      <c r="HY25" s="316"/>
      <c r="HZ25" s="316"/>
      <c r="IA25" s="316"/>
      <c r="IB25" s="316"/>
      <c r="IC25" s="316"/>
      <c r="ID25" s="316"/>
      <c r="IE25" s="316"/>
      <c r="IF25" s="316"/>
      <c r="IG25" s="316"/>
      <c r="IH25" s="316"/>
      <c r="II25" s="316"/>
      <c r="IJ25" s="316"/>
      <c r="IK25" s="316"/>
      <c r="IL25" s="316"/>
      <c r="IM25" s="316"/>
      <c r="IN25" s="316"/>
      <c r="IO25" s="316"/>
      <c r="IP25" s="316"/>
      <c r="IQ25" s="316"/>
      <c r="IR25" s="316"/>
      <c r="IS25" s="316"/>
      <c r="IT25" s="316"/>
      <c r="IU25" s="316"/>
      <c r="IV25" s="316"/>
      <c r="IW25" s="316"/>
      <c r="IX25" s="316"/>
      <c r="IY25" s="316"/>
      <c r="IZ25" s="316"/>
      <c r="JA25" s="316"/>
      <c r="JB25" s="316"/>
      <c r="JC25" s="316"/>
      <c r="JD25" s="316"/>
      <c r="JE25" s="316"/>
      <c r="JF25" s="316"/>
      <c r="JG25" s="316"/>
      <c r="JH25" s="316"/>
      <c r="JI25" s="316"/>
      <c r="JJ25" s="316"/>
      <c r="JK25" s="316"/>
      <c r="JL25" s="316"/>
    </row>
    <row r="26" spans="1:272">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316"/>
      <c r="EH26" s="316"/>
      <c r="EI26" s="316"/>
      <c r="EJ26" s="316"/>
      <c r="EK26" s="316"/>
      <c r="EL26" s="316"/>
      <c r="EM26" s="316"/>
      <c r="EN26" s="316"/>
      <c r="EO26" s="316"/>
      <c r="EP26" s="316"/>
      <c r="EQ26" s="316"/>
      <c r="ER26" s="316"/>
      <c r="ES26" s="316"/>
      <c r="ET26" s="316"/>
      <c r="EU26" s="316"/>
      <c r="EV26" s="316"/>
      <c r="EW26" s="316"/>
      <c r="EX26" s="316"/>
      <c r="EY26" s="316"/>
      <c r="EZ26" s="316"/>
      <c r="FA26" s="316"/>
      <c r="FB26" s="316"/>
      <c r="FC26" s="316"/>
      <c r="FD26" s="316"/>
      <c r="FE26" s="316"/>
      <c r="FF26" s="316"/>
      <c r="FG26" s="316"/>
      <c r="FH26" s="316"/>
      <c r="FI26" s="316"/>
      <c r="FJ26" s="316"/>
      <c r="FK26" s="316"/>
      <c r="FL26" s="316"/>
      <c r="FM26" s="316"/>
      <c r="FN26" s="316"/>
      <c r="FO26" s="316"/>
      <c r="FP26" s="316"/>
      <c r="FQ26" s="316"/>
      <c r="FR26" s="316"/>
      <c r="FS26" s="316"/>
      <c r="FT26" s="316"/>
      <c r="FU26" s="316"/>
      <c r="FV26" s="316"/>
      <c r="FW26" s="316"/>
      <c r="FX26" s="316"/>
      <c r="FY26" s="316"/>
      <c r="FZ26" s="316"/>
      <c r="GA26" s="316"/>
      <c r="GB26" s="316"/>
      <c r="GC26" s="316"/>
      <c r="GD26" s="316"/>
      <c r="GE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c r="IW26" s="316"/>
      <c r="IX26" s="316"/>
      <c r="IY26" s="316"/>
      <c r="IZ26" s="316"/>
      <c r="JA26" s="316"/>
      <c r="JB26" s="316"/>
      <c r="JC26" s="316"/>
      <c r="JD26" s="316"/>
      <c r="JE26" s="316"/>
      <c r="JF26" s="316"/>
      <c r="JG26" s="316"/>
      <c r="JH26" s="316"/>
      <c r="JI26" s="316"/>
      <c r="JJ26" s="316"/>
      <c r="JK26" s="316"/>
      <c r="JL26" s="316"/>
    </row>
    <row r="27" spans="1:272">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316"/>
      <c r="EH27" s="316"/>
      <c r="EI27" s="316"/>
      <c r="EJ27" s="316"/>
      <c r="EK27" s="316"/>
      <c r="EL27" s="316"/>
      <c r="EM27" s="316"/>
      <c r="EN27" s="316"/>
      <c r="EO27" s="316"/>
      <c r="EP27" s="316"/>
      <c r="EQ27" s="316"/>
      <c r="ER27" s="316"/>
      <c r="ES27" s="316"/>
      <c r="ET27" s="316"/>
      <c r="EU27" s="316"/>
      <c r="EV27" s="316"/>
      <c r="EW27" s="316"/>
      <c r="EX27" s="316"/>
      <c r="EY27" s="316"/>
      <c r="EZ27" s="316"/>
      <c r="FA27" s="316"/>
      <c r="FB27" s="316"/>
      <c r="FC27" s="316"/>
      <c r="FD27" s="316"/>
      <c r="FE27" s="316"/>
      <c r="FF27" s="316"/>
      <c r="FG27" s="316"/>
      <c r="FH27" s="316"/>
      <c r="FI27" s="316"/>
      <c r="FJ27" s="316"/>
      <c r="FK27" s="316"/>
      <c r="FL27" s="316"/>
      <c r="FM27" s="316"/>
      <c r="FN27" s="316"/>
      <c r="FO27" s="316"/>
      <c r="FP27" s="316"/>
      <c r="FQ27" s="316"/>
      <c r="FR27" s="316"/>
      <c r="FS27" s="316"/>
      <c r="FT27" s="316"/>
      <c r="FU27" s="316"/>
      <c r="FV27" s="316"/>
      <c r="FW27" s="316"/>
      <c r="FX27" s="316"/>
      <c r="FY27" s="316"/>
      <c r="FZ27" s="316"/>
      <c r="GA27" s="316"/>
      <c r="GB27" s="316"/>
      <c r="GC27" s="316"/>
      <c r="GD27" s="316"/>
      <c r="GE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c r="IW27" s="316"/>
      <c r="IX27" s="316"/>
      <c r="IY27" s="316"/>
      <c r="IZ27" s="316"/>
      <c r="JA27" s="316"/>
      <c r="JB27" s="316"/>
      <c r="JC27" s="316"/>
      <c r="JD27" s="316"/>
      <c r="JE27" s="316"/>
      <c r="JF27" s="316"/>
      <c r="JG27" s="316"/>
      <c r="JH27" s="316"/>
      <c r="JI27" s="316"/>
      <c r="JJ27" s="316"/>
      <c r="JK27" s="316"/>
      <c r="JL27" s="316"/>
    </row>
    <row r="28" spans="1:272">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316"/>
      <c r="EH28" s="316"/>
      <c r="EI28" s="316"/>
      <c r="EJ28" s="316"/>
      <c r="EK28" s="316"/>
      <c r="EL28" s="316"/>
      <c r="EM28" s="316"/>
      <c r="EN28" s="316"/>
      <c r="EO28" s="316"/>
      <c r="EP28" s="316"/>
      <c r="EQ28" s="316"/>
      <c r="ER28" s="316"/>
      <c r="ES28" s="316"/>
      <c r="ET28" s="316"/>
      <c r="EU28" s="316"/>
      <c r="EV28" s="316"/>
      <c r="EW28" s="316"/>
      <c r="EX28" s="316"/>
      <c r="EY28" s="316"/>
      <c r="EZ28" s="316"/>
      <c r="FA28" s="316"/>
      <c r="FB28" s="316"/>
      <c r="FC28" s="316"/>
      <c r="FD28" s="316"/>
      <c r="FE28" s="316"/>
      <c r="FF28" s="316"/>
      <c r="FG28" s="316"/>
      <c r="FH28" s="316"/>
      <c r="FI28" s="316"/>
      <c r="FJ28" s="316"/>
      <c r="FK28" s="316"/>
      <c r="FL28" s="316"/>
      <c r="FM28" s="316"/>
      <c r="FN28" s="316"/>
      <c r="FO28" s="316"/>
      <c r="FP28" s="316"/>
      <c r="FQ28" s="316"/>
      <c r="FR28" s="316"/>
      <c r="FS28" s="316"/>
      <c r="FT28" s="316"/>
      <c r="FU28" s="316"/>
      <c r="FV28" s="316"/>
      <c r="FW28" s="316"/>
      <c r="FX28" s="316"/>
      <c r="FY28" s="316"/>
      <c r="FZ28" s="316"/>
      <c r="GA28" s="316"/>
      <c r="GB28" s="316"/>
      <c r="GC28" s="316"/>
      <c r="GD28" s="316"/>
      <c r="GE28" s="316"/>
      <c r="GF28" s="316"/>
      <c r="GG28" s="316"/>
      <c r="GH28" s="316"/>
      <c r="GI28" s="316"/>
      <c r="GJ28" s="316"/>
      <c r="GK28" s="316"/>
      <c r="GL28" s="316"/>
      <c r="GM28" s="316"/>
      <c r="GN28" s="316"/>
      <c r="GO28" s="316"/>
      <c r="GP28" s="316"/>
      <c r="GQ28" s="316"/>
      <c r="GR28" s="316"/>
      <c r="GS28" s="316"/>
      <c r="GT28" s="316"/>
      <c r="GU28" s="316"/>
      <c r="GV28" s="316"/>
      <c r="GW28" s="316"/>
      <c r="GX28" s="316"/>
      <c r="GY28" s="316"/>
      <c r="GZ28" s="316"/>
      <c r="HA28" s="316"/>
      <c r="HB28" s="316"/>
      <c r="HC28" s="316"/>
      <c r="HD28" s="316"/>
      <c r="HE28" s="316"/>
      <c r="HF28" s="316"/>
      <c r="HG28" s="316"/>
      <c r="HH28" s="316"/>
      <c r="HI28" s="316"/>
      <c r="HJ28" s="316"/>
      <c r="HK28" s="316"/>
      <c r="HL28" s="316"/>
      <c r="HM28" s="316"/>
      <c r="HN28" s="316"/>
      <c r="HO28" s="316"/>
      <c r="HP28" s="316"/>
      <c r="HQ28" s="316"/>
      <c r="HR28" s="316"/>
      <c r="HS28" s="316"/>
      <c r="HT28" s="316"/>
      <c r="HU28" s="316"/>
      <c r="HV28" s="316"/>
      <c r="HW28" s="316"/>
      <c r="HX28" s="316"/>
      <c r="HY28" s="316"/>
      <c r="HZ28" s="316"/>
      <c r="IA28" s="316"/>
      <c r="IB28" s="316"/>
      <c r="IC28" s="316"/>
      <c r="ID28" s="316"/>
      <c r="IE28" s="316"/>
      <c r="IF28" s="316"/>
      <c r="IG28" s="316"/>
      <c r="IH28" s="316"/>
      <c r="II28" s="316"/>
      <c r="IJ28" s="316"/>
      <c r="IK28" s="316"/>
      <c r="IL28" s="316"/>
      <c r="IM28" s="316"/>
      <c r="IN28" s="316"/>
      <c r="IO28" s="316"/>
      <c r="IP28" s="316"/>
      <c r="IQ28" s="316"/>
      <c r="IR28" s="316"/>
      <c r="IS28" s="316"/>
      <c r="IT28" s="316"/>
      <c r="IU28" s="316"/>
      <c r="IV28" s="316"/>
      <c r="IW28" s="316"/>
      <c r="IX28" s="316"/>
      <c r="IY28" s="316"/>
      <c r="IZ28" s="316"/>
      <c r="JA28" s="316"/>
      <c r="JB28" s="316"/>
      <c r="JC28" s="316"/>
      <c r="JD28" s="316"/>
      <c r="JE28" s="316"/>
      <c r="JF28" s="316"/>
      <c r="JG28" s="316"/>
      <c r="JH28" s="316"/>
      <c r="JI28" s="316"/>
      <c r="JJ28" s="316"/>
      <c r="JK28" s="316"/>
      <c r="JL28" s="316"/>
    </row>
    <row r="29" spans="1:272">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316"/>
      <c r="FZ29" s="316"/>
      <c r="GA29" s="316"/>
      <c r="GB29" s="316"/>
      <c r="GC29" s="316"/>
      <c r="GD29" s="316"/>
      <c r="GE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6"/>
      <c r="IX29" s="316"/>
      <c r="IY29" s="316"/>
      <c r="IZ29" s="316"/>
      <c r="JA29" s="316"/>
      <c r="JB29" s="316"/>
      <c r="JC29" s="316"/>
      <c r="JD29" s="316"/>
      <c r="JE29" s="316"/>
      <c r="JF29" s="316"/>
      <c r="JG29" s="316"/>
      <c r="JH29" s="316"/>
      <c r="JI29" s="316"/>
      <c r="JJ29" s="316"/>
      <c r="JK29" s="316"/>
      <c r="JL29" s="316"/>
    </row>
    <row r="30" spans="1:272">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316"/>
      <c r="EH30" s="316"/>
      <c r="EI30" s="316"/>
      <c r="EJ30" s="316"/>
      <c r="EK30" s="316"/>
      <c r="EL30" s="316"/>
      <c r="EM30" s="316"/>
      <c r="EN30" s="316"/>
      <c r="EO30" s="316"/>
      <c r="EP30" s="316"/>
      <c r="EQ30" s="316"/>
      <c r="ER30" s="316"/>
      <c r="ES30" s="316"/>
      <c r="ET30" s="316"/>
      <c r="EU30" s="316"/>
      <c r="EV30" s="316"/>
      <c r="EW30" s="316"/>
      <c r="EX30" s="316"/>
      <c r="EY30" s="316"/>
      <c r="EZ30" s="316"/>
      <c r="FA30" s="316"/>
      <c r="FB30" s="316"/>
      <c r="FC30" s="316"/>
      <c r="FD30" s="316"/>
      <c r="FE30" s="316"/>
      <c r="FF30" s="316"/>
      <c r="FG30" s="316"/>
      <c r="FH30" s="316"/>
      <c r="FI30" s="316"/>
      <c r="FJ30" s="316"/>
      <c r="FK30" s="316"/>
      <c r="FL30" s="316"/>
      <c r="FM30" s="316"/>
      <c r="FN30" s="316"/>
      <c r="FO30" s="316"/>
      <c r="FP30" s="316"/>
      <c r="FQ30" s="316"/>
      <c r="FR30" s="316"/>
      <c r="FS30" s="316"/>
      <c r="FT30" s="316"/>
      <c r="FU30" s="316"/>
      <c r="FV30" s="316"/>
      <c r="FW30" s="316"/>
      <c r="FX30" s="316"/>
      <c r="FY30" s="316"/>
      <c r="FZ30" s="316"/>
      <c r="GA30" s="316"/>
      <c r="GB30" s="316"/>
      <c r="GC30" s="316"/>
      <c r="GD30" s="316"/>
      <c r="GE30" s="316"/>
      <c r="GF30" s="316"/>
      <c r="GG30" s="316"/>
      <c r="GH30" s="316"/>
      <c r="GI30" s="316"/>
      <c r="GJ30" s="316"/>
      <c r="GK30" s="316"/>
      <c r="GL30" s="316"/>
      <c r="GM30" s="316"/>
      <c r="GN30" s="316"/>
      <c r="GO30" s="316"/>
      <c r="GP30" s="316"/>
      <c r="GQ30" s="316"/>
      <c r="GR30" s="316"/>
      <c r="GS30" s="316"/>
      <c r="GT30" s="316"/>
      <c r="GU30" s="316"/>
      <c r="GV30" s="316"/>
      <c r="GW30" s="316"/>
      <c r="GX30" s="316"/>
      <c r="GY30" s="316"/>
      <c r="GZ30" s="316"/>
      <c r="HA30" s="316"/>
      <c r="HB30" s="316"/>
      <c r="HC30" s="316"/>
      <c r="HD30" s="316"/>
      <c r="HE30" s="316"/>
      <c r="HF30" s="316"/>
      <c r="HG30" s="316"/>
      <c r="HH30" s="316"/>
      <c r="HI30" s="316"/>
      <c r="HJ30" s="316"/>
      <c r="HK30" s="316"/>
      <c r="HL30" s="316"/>
      <c r="HM30" s="31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c r="IV30" s="316"/>
      <c r="IW30" s="316"/>
      <c r="IX30" s="316"/>
      <c r="IY30" s="316"/>
      <c r="IZ30" s="316"/>
      <c r="JA30" s="316"/>
      <c r="JB30" s="316"/>
      <c r="JC30" s="316"/>
      <c r="JD30" s="316"/>
      <c r="JE30" s="316"/>
      <c r="JF30" s="316"/>
      <c r="JG30" s="316"/>
      <c r="JH30" s="316"/>
      <c r="JI30" s="316"/>
      <c r="JJ30" s="316"/>
      <c r="JK30" s="316"/>
      <c r="JL30" s="316"/>
    </row>
    <row r="31" spans="1:272">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316"/>
      <c r="EH31" s="316"/>
      <c r="EI31" s="316"/>
      <c r="EJ31" s="316"/>
      <c r="EK31" s="316"/>
      <c r="EL31" s="316"/>
      <c r="EM31" s="316"/>
      <c r="EN31" s="316"/>
      <c r="EO31" s="316"/>
      <c r="EP31" s="316"/>
      <c r="EQ31" s="316"/>
      <c r="ER31" s="316"/>
      <c r="ES31" s="316"/>
      <c r="ET31" s="316"/>
      <c r="EU31" s="316"/>
      <c r="EV31" s="316"/>
      <c r="EW31" s="316"/>
      <c r="EX31" s="316"/>
      <c r="EY31" s="316"/>
      <c r="EZ31" s="316"/>
      <c r="FA31" s="316"/>
      <c r="FB31" s="316"/>
      <c r="FC31" s="316"/>
      <c r="FD31" s="316"/>
      <c r="FE31" s="316"/>
      <c r="FF31" s="316"/>
      <c r="FG31" s="316"/>
      <c r="FH31" s="316"/>
      <c r="FI31" s="316"/>
      <c r="FJ31" s="316"/>
      <c r="FK31" s="316"/>
      <c r="FL31" s="316"/>
      <c r="FM31" s="316"/>
      <c r="FN31" s="316"/>
      <c r="FO31" s="316"/>
      <c r="FP31" s="316"/>
      <c r="FQ31" s="316"/>
      <c r="FR31" s="316"/>
      <c r="FS31" s="316"/>
      <c r="FT31" s="316"/>
      <c r="FU31" s="316"/>
      <c r="FV31" s="316"/>
      <c r="FW31" s="316"/>
      <c r="FX31" s="316"/>
      <c r="FY31" s="316"/>
      <c r="FZ31" s="316"/>
      <c r="GA31" s="316"/>
      <c r="GB31" s="316"/>
      <c r="GC31" s="316"/>
      <c r="GD31" s="316"/>
      <c r="GE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c r="IV31" s="316"/>
      <c r="IW31" s="316"/>
      <c r="IX31" s="316"/>
      <c r="IY31" s="316"/>
      <c r="IZ31" s="316"/>
      <c r="JA31" s="316"/>
      <c r="JB31" s="316"/>
      <c r="JC31" s="316"/>
      <c r="JD31" s="316"/>
      <c r="JE31" s="316"/>
      <c r="JF31" s="316"/>
      <c r="JG31" s="316"/>
      <c r="JH31" s="316"/>
      <c r="JI31" s="316"/>
      <c r="JJ31" s="316"/>
      <c r="JK31" s="316"/>
      <c r="JL31" s="316"/>
    </row>
  </sheetData>
  <mergeCells count="2">
    <mergeCell ref="B9:D9"/>
    <mergeCell ref="B11:K12"/>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B8" sqref="B8:C8"/>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57"/>
      <c r="B1" s="257"/>
      <c r="C1" s="257"/>
      <c r="D1" s="257"/>
      <c r="E1" s="257"/>
      <c r="F1" s="257"/>
      <c r="G1" s="257"/>
      <c r="H1" s="257"/>
      <c r="I1" s="257"/>
      <c r="J1" s="257"/>
      <c r="K1" s="257"/>
      <c r="L1" s="257"/>
      <c r="M1" s="257"/>
      <c r="N1" s="257"/>
      <c r="O1" s="257"/>
      <c r="P1" s="257"/>
      <c r="Q1" s="257"/>
    </row>
    <row r="2" ht="15.15" spans="1:17">
      <c r="A2" s="257"/>
      <c r="B2" s="258" t="s">
        <v>178</v>
      </c>
      <c r="C2" s="259"/>
      <c r="D2" s="260" t="s">
        <v>179</v>
      </c>
      <c r="E2" s="257"/>
      <c r="F2" s="257"/>
      <c r="G2" s="257"/>
      <c r="H2" s="261"/>
      <c r="I2" s="257"/>
      <c r="J2" s="257"/>
      <c r="K2" s="257"/>
      <c r="L2" s="257"/>
      <c r="M2" s="257"/>
      <c r="N2" s="257"/>
      <c r="O2" s="257"/>
      <c r="P2" s="257"/>
      <c r="Q2" s="257"/>
    </row>
    <row r="3" ht="15.15" spans="1:17">
      <c r="A3" s="257"/>
      <c r="B3" s="262" t="s">
        <v>180</v>
      </c>
      <c r="C3" s="263"/>
      <c r="D3" s="264">
        <v>329</v>
      </c>
      <c r="E3" s="257"/>
      <c r="F3" s="258" t="s">
        <v>181</v>
      </c>
      <c r="G3" s="265"/>
      <c r="H3" s="266">
        <f>F48</f>
        <v>165.178571428571</v>
      </c>
      <c r="I3" s="286"/>
      <c r="J3" s="258" t="s">
        <v>182</v>
      </c>
      <c r="K3" s="259"/>
      <c r="L3" s="257"/>
      <c r="M3" s="257"/>
      <c r="N3" s="257"/>
      <c r="O3" s="257"/>
      <c r="P3" s="257"/>
      <c r="Q3" s="257"/>
    </row>
    <row r="4" ht="15.15" spans="1:17">
      <c r="A4" s="257"/>
      <c r="B4" s="267" t="s">
        <v>183</v>
      </c>
      <c r="C4" s="268"/>
      <c r="D4" s="269">
        <v>366</v>
      </c>
      <c r="E4" s="257"/>
      <c r="F4" s="270" t="s">
        <v>184</v>
      </c>
      <c r="G4" s="271"/>
      <c r="H4" s="272">
        <f>VLOOKUP(H50,A46:B446,2,0)</f>
        <v>0.109320999206609</v>
      </c>
      <c r="I4" s="287"/>
      <c r="J4" s="288">
        <f>H50/4</f>
        <v>34.5</v>
      </c>
      <c r="K4" s="289"/>
      <c r="L4" s="257"/>
      <c r="M4" s="257"/>
      <c r="N4" s="257"/>
      <c r="O4" s="257"/>
      <c r="P4" s="257"/>
      <c r="Q4" s="257"/>
    </row>
    <row r="5" ht="15.15" spans="1:17">
      <c r="A5" s="257"/>
      <c r="B5" s="267" t="s">
        <v>185</v>
      </c>
      <c r="C5" s="268"/>
      <c r="D5" s="269">
        <v>302</v>
      </c>
      <c r="E5" s="257"/>
      <c r="F5" s="270" t="str">
        <f>IF(H3&gt;D8,"你被偷了","你偷了别人")</f>
        <v>你被偷了</v>
      </c>
      <c r="G5" s="273"/>
      <c r="H5" s="274">
        <f>IF(H3&gt;D8,H3-D8,D8-H3)</f>
        <v>15.1785714285714</v>
      </c>
      <c r="I5" s="290"/>
      <c r="J5" s="291"/>
      <c r="K5" s="292"/>
      <c r="L5" s="257"/>
      <c r="M5" s="257"/>
      <c r="N5" s="257"/>
      <c r="O5" s="257"/>
      <c r="P5" s="257"/>
      <c r="Q5" s="257"/>
    </row>
    <row r="6" ht="15.15" spans="1:17">
      <c r="A6" s="257"/>
      <c r="B6" s="267" t="s">
        <v>186</v>
      </c>
      <c r="C6" s="268"/>
      <c r="D6" s="269">
        <v>380</v>
      </c>
      <c r="E6" s="257"/>
      <c r="F6" s="275" t="str">
        <f>VLOOKUP(1,I46:Q54,2,0)</f>
        <v>其实吧，你也就洒洒水一般非酋罢了，比你非的人也不少</v>
      </c>
      <c r="G6" s="276"/>
      <c r="H6" s="276"/>
      <c r="I6" s="276"/>
      <c r="J6" s="276"/>
      <c r="K6" s="293"/>
      <c r="L6" s="257"/>
      <c r="M6" s="257"/>
      <c r="N6" s="257"/>
      <c r="O6" s="257"/>
      <c r="P6" s="257"/>
      <c r="Q6" s="257"/>
    </row>
    <row r="7" spans="1:17">
      <c r="A7" s="257"/>
      <c r="B7" s="267" t="s">
        <v>187</v>
      </c>
      <c r="C7" s="268"/>
      <c r="D7" s="269">
        <v>323</v>
      </c>
      <c r="E7" s="257"/>
      <c r="F7" s="257"/>
      <c r="G7" s="257"/>
      <c r="H7" s="257"/>
      <c r="I7" s="257"/>
      <c r="J7" s="257"/>
      <c r="K7" s="257"/>
      <c r="L7" s="257"/>
      <c r="M7" s="257"/>
      <c r="N7" s="257"/>
      <c r="O7" s="257"/>
      <c r="P7" s="257"/>
      <c r="Q7" s="257"/>
    </row>
    <row r="8" ht="15.15" spans="1:17">
      <c r="A8" s="257"/>
      <c r="B8" s="277" t="s">
        <v>188</v>
      </c>
      <c r="C8" s="278"/>
      <c r="D8" s="279">
        <v>150</v>
      </c>
      <c r="E8" s="257"/>
      <c r="F8" s="280" t="s">
        <v>189</v>
      </c>
      <c r="G8" s="280"/>
      <c r="H8" s="280"/>
      <c r="I8" s="257"/>
      <c r="J8" s="257"/>
      <c r="K8" s="257"/>
      <c r="L8" s="257"/>
      <c r="M8" s="257"/>
      <c r="N8" s="257"/>
      <c r="O8" s="257"/>
      <c r="P8" s="257"/>
      <c r="Q8" s="257"/>
    </row>
    <row r="9" ht="15.15" spans="1:17">
      <c r="A9" s="257"/>
      <c r="B9" s="257"/>
      <c r="C9" s="257"/>
      <c r="D9" s="257"/>
      <c r="E9" s="257"/>
      <c r="F9" s="280" t="s">
        <v>190</v>
      </c>
      <c r="G9" s="280"/>
      <c r="H9" s="280"/>
      <c r="I9" s="280"/>
      <c r="J9" s="280"/>
      <c r="K9" s="257"/>
      <c r="L9" s="257"/>
      <c r="M9" s="257"/>
      <c r="N9" s="257"/>
      <c r="O9" s="257"/>
      <c r="P9" s="257"/>
      <c r="Q9" s="257"/>
    </row>
    <row r="10" ht="15.15" spans="1:17">
      <c r="A10" s="257"/>
      <c r="B10" s="281" t="s">
        <v>191</v>
      </c>
      <c r="C10" s="282"/>
      <c r="D10" s="283">
        <v>2.04</v>
      </c>
      <c r="E10" s="257"/>
      <c r="F10" s="257"/>
      <c r="G10" s="257"/>
      <c r="H10" s="261"/>
      <c r="I10" s="257"/>
      <c r="J10" s="257"/>
      <c r="K10" s="257"/>
      <c r="L10" s="257"/>
      <c r="M10" s="257"/>
      <c r="N10" s="257"/>
      <c r="O10" s="257"/>
      <c r="P10" s="257"/>
      <c r="Q10" s="257"/>
    </row>
    <row r="11" ht="15.15" spans="1:17">
      <c r="A11" s="257"/>
      <c r="B11" s="270" t="s">
        <v>192</v>
      </c>
      <c r="C11" s="273"/>
      <c r="D11" s="283">
        <f>SUM(D3:D7)/D8/5</f>
        <v>2.26666666666667</v>
      </c>
      <c r="E11" s="257"/>
      <c r="F11" s="257"/>
      <c r="G11" s="257"/>
      <c r="H11" s="261"/>
      <c r="I11" s="257"/>
      <c r="J11" s="257"/>
      <c r="K11" s="257"/>
      <c r="L11" s="257"/>
      <c r="M11" s="257"/>
      <c r="N11" s="257"/>
      <c r="O11" s="257"/>
      <c r="P11" s="257"/>
      <c r="Q11" s="257"/>
    </row>
    <row r="12" spans="1:17">
      <c r="A12" s="257"/>
      <c r="B12" s="257"/>
      <c r="C12" s="257"/>
      <c r="D12" s="257"/>
      <c r="E12" s="257"/>
      <c r="F12" s="257"/>
      <c r="G12" s="257"/>
      <c r="H12" s="261"/>
      <c r="I12" s="257"/>
      <c r="J12" s="257"/>
      <c r="K12" s="257"/>
      <c r="L12" s="257"/>
      <c r="M12" s="257"/>
      <c r="N12" s="257"/>
      <c r="O12" s="257"/>
      <c r="P12" s="257"/>
      <c r="Q12" s="257"/>
    </row>
    <row r="13" spans="1:17">
      <c r="A13" s="257"/>
      <c r="B13" s="257"/>
      <c r="C13" s="257"/>
      <c r="D13" s="257"/>
      <c r="E13" s="257"/>
      <c r="F13" s="257"/>
      <c r="G13" s="257"/>
      <c r="H13" s="257"/>
      <c r="I13" s="257"/>
      <c r="J13" s="257"/>
      <c r="K13" s="257"/>
      <c r="L13" s="257"/>
      <c r="M13" s="257"/>
      <c r="N13" s="257"/>
      <c r="O13" s="257"/>
      <c r="P13" s="257"/>
      <c r="Q13" s="257"/>
    </row>
    <row r="14" spans="1:17">
      <c r="A14" s="257"/>
      <c r="B14" s="257"/>
      <c r="C14" s="257"/>
      <c r="D14" s="257"/>
      <c r="E14" s="257"/>
      <c r="F14" s="257"/>
      <c r="G14" s="257"/>
      <c r="H14" s="257"/>
      <c r="I14" s="257"/>
      <c r="J14" s="257"/>
      <c r="K14" s="257"/>
      <c r="L14" s="257"/>
      <c r="M14" s="257"/>
      <c r="N14" s="257"/>
      <c r="O14" s="257"/>
      <c r="P14" s="257"/>
      <c r="Q14" s="257"/>
    </row>
    <row r="15" spans="1:17">
      <c r="A15" s="257"/>
      <c r="B15" s="257"/>
      <c r="C15" s="257"/>
      <c r="D15" s="257"/>
      <c r="E15" s="257"/>
      <c r="F15" s="257"/>
      <c r="G15" s="257"/>
      <c r="H15" s="257"/>
      <c r="I15" s="257"/>
      <c r="J15" s="257"/>
      <c r="K15" s="257"/>
      <c r="L15" s="257"/>
      <c r="M15" s="257"/>
      <c r="N15" s="257"/>
      <c r="O15" s="257"/>
      <c r="P15" s="257"/>
      <c r="Q15" s="257"/>
    </row>
    <row r="16" spans="1:17">
      <c r="A16" s="257"/>
      <c r="B16" s="257"/>
      <c r="C16" s="257"/>
      <c r="D16" s="257"/>
      <c r="E16" s="257"/>
      <c r="F16" s="257"/>
      <c r="G16" s="257"/>
      <c r="H16" s="257"/>
      <c r="I16" s="257"/>
      <c r="J16" s="257"/>
      <c r="K16" s="257"/>
      <c r="L16" s="257"/>
      <c r="M16" s="257"/>
      <c r="N16" s="257"/>
      <c r="O16" s="257"/>
      <c r="P16" s="257"/>
      <c r="Q16" s="257"/>
    </row>
    <row r="17" spans="1:17">
      <c r="A17" s="257"/>
      <c r="B17" s="257"/>
      <c r="C17" s="257"/>
      <c r="D17" s="257"/>
      <c r="E17" s="257"/>
      <c r="F17" s="257"/>
      <c r="G17" s="257"/>
      <c r="H17" s="257"/>
      <c r="I17" s="257"/>
      <c r="J17" s="257"/>
      <c r="K17" s="257"/>
      <c r="L17" s="257"/>
      <c r="M17" s="257"/>
      <c r="N17" s="257"/>
      <c r="O17" s="257"/>
      <c r="P17" s="257"/>
      <c r="Q17" s="257"/>
    </row>
    <row r="18" spans="1:17">
      <c r="A18" s="257"/>
      <c r="B18" s="257"/>
      <c r="C18" s="257"/>
      <c r="D18" s="257"/>
      <c r="E18" s="257"/>
      <c r="F18" s="257"/>
      <c r="G18" s="257"/>
      <c r="H18" s="257"/>
      <c r="I18" s="257"/>
      <c r="J18" s="257"/>
      <c r="K18" s="257"/>
      <c r="L18" s="257"/>
      <c r="M18" s="257"/>
      <c r="N18" s="257"/>
      <c r="O18" s="257"/>
      <c r="P18" s="257"/>
      <c r="Q18" s="257"/>
    </row>
    <row r="19" spans="1:17">
      <c r="A19" s="257"/>
      <c r="B19" s="257"/>
      <c r="C19" s="257"/>
      <c r="D19" s="257"/>
      <c r="E19" s="257"/>
      <c r="F19" s="257"/>
      <c r="G19" s="257"/>
      <c r="H19" s="257"/>
      <c r="I19" s="257"/>
      <c r="J19" s="257"/>
      <c r="K19" s="257"/>
      <c r="L19" s="257"/>
      <c r="M19" s="257"/>
      <c r="N19" s="257"/>
      <c r="O19" s="257"/>
      <c r="P19" s="257"/>
      <c r="Q19" s="257"/>
    </row>
    <row r="20" spans="1:17">
      <c r="A20" s="257"/>
      <c r="B20" s="257"/>
      <c r="C20" s="257"/>
      <c r="D20" s="257"/>
      <c r="E20" s="257"/>
      <c r="F20" s="257"/>
      <c r="G20" s="257"/>
      <c r="H20" s="257"/>
      <c r="I20" s="257"/>
      <c r="J20" s="257"/>
      <c r="K20" s="257"/>
      <c r="L20" s="257"/>
      <c r="M20" s="257"/>
      <c r="N20" s="257"/>
      <c r="O20" s="257"/>
      <c r="P20" s="257"/>
      <c r="Q20" s="257"/>
    </row>
    <row r="21" spans="1:17">
      <c r="A21" s="257"/>
      <c r="B21" s="257"/>
      <c r="C21" s="257"/>
      <c r="D21" s="257"/>
      <c r="E21" s="257"/>
      <c r="F21" s="257"/>
      <c r="G21" s="257"/>
      <c r="H21" s="257"/>
      <c r="I21" s="257"/>
      <c r="J21" s="257"/>
      <c r="K21" s="257"/>
      <c r="L21" s="257"/>
      <c r="M21" s="257"/>
      <c r="N21" s="257"/>
      <c r="O21" s="257"/>
      <c r="P21" s="257"/>
      <c r="Q21" s="257"/>
    </row>
    <row r="22" spans="1:17">
      <c r="A22" s="257"/>
      <c r="B22" s="257"/>
      <c r="C22" s="257"/>
      <c r="D22" s="257"/>
      <c r="E22" s="257"/>
      <c r="F22" s="257"/>
      <c r="G22" s="257"/>
      <c r="H22" s="257"/>
      <c r="I22" s="257"/>
      <c r="J22" s="257"/>
      <c r="K22" s="257"/>
      <c r="L22" s="257"/>
      <c r="M22" s="257"/>
      <c r="N22" s="257"/>
      <c r="O22" s="257"/>
      <c r="P22" s="257"/>
      <c r="Q22" s="257"/>
    </row>
    <row r="23" spans="1:17">
      <c r="A23" s="257"/>
      <c r="B23" s="257"/>
      <c r="C23" s="257"/>
      <c r="D23" s="257"/>
      <c r="E23" s="257"/>
      <c r="F23" s="257"/>
      <c r="G23" s="257"/>
      <c r="H23" s="257"/>
      <c r="I23" s="257"/>
      <c r="J23" s="257"/>
      <c r="K23" s="257"/>
      <c r="L23" s="257"/>
      <c r="M23" s="257"/>
      <c r="N23" s="257"/>
      <c r="O23" s="257"/>
      <c r="P23" s="257"/>
      <c r="Q23" s="257"/>
    </row>
    <row r="24" spans="1:17">
      <c r="A24" s="257"/>
      <c r="B24" s="257"/>
      <c r="C24" s="257"/>
      <c r="D24" s="257"/>
      <c r="E24" s="257"/>
      <c r="F24" s="257"/>
      <c r="G24" s="257"/>
      <c r="H24" s="257"/>
      <c r="I24" s="257"/>
      <c r="J24" s="257"/>
      <c r="K24" s="257"/>
      <c r="L24" s="257"/>
      <c r="M24" s="257"/>
      <c r="N24" s="257"/>
      <c r="O24" s="257"/>
      <c r="P24" s="257"/>
      <c r="Q24" s="257"/>
    </row>
    <row r="25" spans="1:17">
      <c r="A25" s="257"/>
      <c r="B25" s="257"/>
      <c r="C25" s="257"/>
      <c r="D25" s="257"/>
      <c r="E25" s="257"/>
      <c r="F25" s="257"/>
      <c r="G25" s="257"/>
      <c r="H25" s="257"/>
      <c r="I25" s="257"/>
      <c r="J25" s="257"/>
      <c r="K25" s="257"/>
      <c r="L25" s="257"/>
      <c r="M25" s="257"/>
      <c r="N25" s="257"/>
      <c r="O25" s="257"/>
      <c r="P25" s="257"/>
      <c r="Q25" s="257"/>
    </row>
    <row r="26" spans="1:17">
      <c r="A26" s="257"/>
      <c r="B26" s="257"/>
      <c r="C26" s="257"/>
      <c r="D26" s="257"/>
      <c r="E26" s="257"/>
      <c r="F26" s="257"/>
      <c r="G26" s="257"/>
      <c r="H26" s="257"/>
      <c r="I26" s="257"/>
      <c r="J26" s="257"/>
      <c r="K26" s="257"/>
      <c r="L26" s="257"/>
      <c r="M26" s="257"/>
      <c r="N26" s="257"/>
      <c r="O26" s="257"/>
      <c r="P26" s="257"/>
      <c r="Q26" s="257"/>
    </row>
    <row r="27" spans="1:17">
      <c r="A27" s="257"/>
      <c r="B27" s="257"/>
      <c r="C27" s="257"/>
      <c r="D27" s="257"/>
      <c r="E27" s="257"/>
      <c r="F27" s="257"/>
      <c r="G27" s="257"/>
      <c r="H27" s="257"/>
      <c r="I27" s="257"/>
      <c r="J27" s="257"/>
      <c r="K27" s="257"/>
      <c r="L27" s="257"/>
      <c r="M27" s="257"/>
      <c r="N27" s="257"/>
      <c r="O27" s="257"/>
      <c r="P27" s="257"/>
      <c r="Q27" s="257"/>
    </row>
    <row r="28" spans="1:17">
      <c r="A28" s="257"/>
      <c r="B28" s="257"/>
      <c r="C28" s="257"/>
      <c r="D28" s="257"/>
      <c r="E28" s="257"/>
      <c r="F28" s="257"/>
      <c r="G28" s="257"/>
      <c r="H28" s="257"/>
      <c r="I28" s="257"/>
      <c r="J28" s="257"/>
      <c r="K28" s="257"/>
      <c r="L28" s="257"/>
      <c r="M28" s="257"/>
      <c r="N28" s="257"/>
      <c r="O28" s="257"/>
      <c r="P28" s="257"/>
      <c r="Q28" s="257"/>
    </row>
    <row r="29" spans="1:17">
      <c r="A29" s="257"/>
      <c r="B29" s="257"/>
      <c r="C29" s="257"/>
      <c r="D29" s="257"/>
      <c r="E29" s="257"/>
      <c r="F29" s="257"/>
      <c r="G29" s="257"/>
      <c r="H29" s="257"/>
      <c r="I29" s="257"/>
      <c r="J29" s="257"/>
      <c r="K29" s="257"/>
      <c r="L29" s="257"/>
      <c r="M29" s="257"/>
      <c r="N29" s="257"/>
      <c r="O29" s="257"/>
      <c r="P29" s="257"/>
      <c r="Q29" s="257"/>
    </row>
    <row r="30" spans="1:17">
      <c r="A30" s="257"/>
      <c r="B30" s="257"/>
      <c r="C30" s="257"/>
      <c r="D30" s="257"/>
      <c r="E30" s="257"/>
      <c r="F30" s="257"/>
      <c r="G30" s="257"/>
      <c r="H30" s="257"/>
      <c r="I30" s="257"/>
      <c r="J30" s="257"/>
      <c r="K30" s="257"/>
      <c r="L30" s="257"/>
      <c r="M30" s="257"/>
      <c r="N30" s="257"/>
      <c r="O30" s="257"/>
      <c r="P30" s="257"/>
      <c r="Q30" s="257"/>
    </row>
    <row r="31" spans="1:17">
      <c r="A31" s="257"/>
      <c r="B31" s="257"/>
      <c r="C31" s="257"/>
      <c r="D31" s="257"/>
      <c r="E31" s="257"/>
      <c r="F31" s="257"/>
      <c r="G31" s="257"/>
      <c r="H31" s="257"/>
      <c r="I31" s="257"/>
      <c r="J31" s="257"/>
      <c r="K31" s="257"/>
      <c r="L31" s="257"/>
      <c r="M31" s="257"/>
      <c r="N31" s="257"/>
      <c r="O31" s="257"/>
      <c r="P31" s="257"/>
      <c r="Q31" s="257"/>
    </row>
    <row r="32" spans="1:17">
      <c r="A32" s="257"/>
      <c r="B32" s="257"/>
      <c r="C32" s="257"/>
      <c r="D32" s="257"/>
      <c r="E32" s="257"/>
      <c r="F32" s="257"/>
      <c r="G32" s="257"/>
      <c r="H32" s="257"/>
      <c r="I32" s="257"/>
      <c r="J32" s="257"/>
      <c r="K32" s="257"/>
      <c r="L32" s="257"/>
      <c r="M32" s="257"/>
      <c r="N32" s="257"/>
      <c r="O32" s="257"/>
      <c r="P32" s="257"/>
      <c r="Q32" s="257"/>
    </row>
    <row r="33" spans="1:17">
      <c r="A33" s="257"/>
      <c r="B33" s="257"/>
      <c r="C33" s="257"/>
      <c r="D33" s="257"/>
      <c r="E33" s="257"/>
      <c r="F33" s="257"/>
      <c r="G33" s="257"/>
      <c r="H33" s="257"/>
      <c r="I33" s="257"/>
      <c r="J33" s="257"/>
      <c r="K33" s="257"/>
      <c r="L33" s="257"/>
      <c r="M33" s="257"/>
      <c r="N33" s="257"/>
      <c r="O33" s="257"/>
      <c r="P33" s="257"/>
      <c r="Q33" s="257"/>
    </row>
    <row r="34" spans="1:17">
      <c r="A34" s="257"/>
      <c r="B34" s="257"/>
      <c r="C34" s="257"/>
      <c r="D34" s="257"/>
      <c r="E34" s="257"/>
      <c r="F34" s="257"/>
      <c r="G34" s="257"/>
      <c r="H34" s="257"/>
      <c r="I34" s="257"/>
      <c r="J34" s="257"/>
      <c r="K34" s="257"/>
      <c r="L34" s="257"/>
      <c r="M34" s="257"/>
      <c r="N34" s="257"/>
      <c r="O34" s="257"/>
      <c r="P34" s="257"/>
      <c r="Q34" s="257"/>
    </row>
    <row r="35" spans="1:17">
      <c r="A35" s="257"/>
      <c r="B35" s="257"/>
      <c r="C35" s="257"/>
      <c r="D35" s="257"/>
      <c r="E35" s="257"/>
      <c r="F35" s="257"/>
      <c r="G35" s="257"/>
      <c r="H35" s="257"/>
      <c r="I35" s="257"/>
      <c r="J35" s="257"/>
      <c r="K35" s="257"/>
      <c r="L35" s="257"/>
      <c r="M35" s="257"/>
      <c r="N35" s="257"/>
      <c r="O35" s="257"/>
      <c r="P35" s="257"/>
      <c r="Q35" s="257"/>
    </row>
    <row r="36" spans="1:17">
      <c r="A36" s="257"/>
      <c r="B36" s="257"/>
      <c r="C36" s="257"/>
      <c r="D36" s="257"/>
      <c r="E36" s="257"/>
      <c r="F36" s="257"/>
      <c r="G36" s="257"/>
      <c r="H36" s="257"/>
      <c r="I36" s="257"/>
      <c r="J36" s="257"/>
      <c r="K36" s="257"/>
      <c r="L36" s="257"/>
      <c r="M36" s="257"/>
      <c r="N36" s="257"/>
      <c r="O36" s="257"/>
      <c r="P36" s="257"/>
      <c r="Q36" s="257"/>
    </row>
    <row r="37" spans="1:17">
      <c r="A37" s="257"/>
      <c r="B37" s="257"/>
      <c r="C37" s="257"/>
      <c r="D37" s="257"/>
      <c r="E37" s="257"/>
      <c r="F37" s="257"/>
      <c r="G37" s="257"/>
      <c r="H37" s="257"/>
      <c r="I37" s="257"/>
      <c r="J37" s="257"/>
      <c r="K37" s="257"/>
      <c r="L37" s="257"/>
      <c r="M37" s="257"/>
      <c r="N37" s="257"/>
      <c r="O37" s="257"/>
      <c r="P37" s="257"/>
      <c r="Q37" s="257"/>
    </row>
    <row r="38" spans="1:17">
      <c r="A38" s="257"/>
      <c r="B38" s="257"/>
      <c r="C38" s="257"/>
      <c r="D38" s="257"/>
      <c r="E38" s="257"/>
      <c r="F38" s="257"/>
      <c r="G38" s="257"/>
      <c r="H38" s="257"/>
      <c r="I38" s="257"/>
      <c r="J38" s="257"/>
      <c r="K38" s="257"/>
      <c r="L38" s="257"/>
      <c r="M38" s="257"/>
      <c r="N38" s="257"/>
      <c r="O38" s="257"/>
      <c r="P38" s="257"/>
      <c r="Q38" s="257"/>
    </row>
    <row r="39" spans="1:17">
      <c r="A39" s="257"/>
      <c r="B39" s="257"/>
      <c r="C39" s="257"/>
      <c r="D39" s="257"/>
      <c r="E39" s="257"/>
      <c r="F39" s="257"/>
      <c r="G39" s="257"/>
      <c r="H39" s="257"/>
      <c r="I39" s="257"/>
      <c r="J39" s="257"/>
      <c r="K39" s="257"/>
      <c r="L39" s="257"/>
      <c r="M39" s="257"/>
      <c r="N39" s="257"/>
      <c r="O39" s="257"/>
      <c r="P39" s="257"/>
      <c r="Q39" s="257"/>
    </row>
    <row r="40" spans="1:17">
      <c r="A40" s="257"/>
      <c r="B40" s="257"/>
      <c r="C40" s="257"/>
      <c r="D40" s="257"/>
      <c r="E40" s="257"/>
      <c r="F40" s="257"/>
      <c r="G40" s="257"/>
      <c r="H40" s="257"/>
      <c r="I40" s="257"/>
      <c r="J40" s="257"/>
      <c r="K40" s="257"/>
      <c r="L40" s="257"/>
      <c r="M40" s="257"/>
      <c r="N40" s="257"/>
      <c r="O40" s="257"/>
      <c r="P40" s="257"/>
      <c r="Q40" s="257"/>
    </row>
    <row r="46" spans="1:17">
      <c r="A46">
        <v>0</v>
      </c>
      <c r="B46">
        <v>2.67676699924134e-6</v>
      </c>
      <c r="D46">
        <v>1</v>
      </c>
      <c r="E46">
        <f>D10*5</f>
        <v>10.2</v>
      </c>
      <c r="F46">
        <f>D46+E46</f>
        <v>11.2</v>
      </c>
      <c r="I46">
        <f>IF(H50=0,1,0)</f>
        <v>0</v>
      </c>
      <c r="J46" s="31" t="s">
        <v>193</v>
      </c>
      <c r="K46" s="31"/>
      <c r="L46" s="31"/>
      <c r="M46" s="31"/>
      <c r="N46" s="31"/>
      <c r="O46" s="31"/>
      <c r="P46" s="31"/>
      <c r="Q46" s="31"/>
    </row>
    <row r="47" spans="1:17">
      <c r="A47">
        <v>1</v>
      </c>
      <c r="B47">
        <v>5.57589418927417e-6</v>
      </c>
      <c r="C47" t="s">
        <v>194</v>
      </c>
      <c r="D47" t="s">
        <v>195</v>
      </c>
      <c r="E47" t="s">
        <v>196</v>
      </c>
      <c r="F47" t="s">
        <v>197</v>
      </c>
      <c r="G47" t="s">
        <v>198</v>
      </c>
      <c r="I47">
        <f>IF(AND(H50&gt;0,H50&lt;=80),1,0)</f>
        <v>0</v>
      </c>
      <c r="J47" s="31" t="s">
        <v>199</v>
      </c>
      <c r="K47" s="31"/>
      <c r="L47" s="31"/>
      <c r="M47" s="31"/>
      <c r="N47" s="31"/>
      <c r="O47" s="31"/>
      <c r="P47" s="31"/>
      <c r="Q47" s="31"/>
    </row>
    <row r="48" spans="1:17">
      <c r="A48">
        <v>2</v>
      </c>
      <c r="B48">
        <v>8.7145973947787e-6</v>
      </c>
      <c r="C48">
        <f>SUM(D3:D8)</f>
        <v>1850</v>
      </c>
      <c r="D48">
        <f>D46/F46</f>
        <v>0.0892857142857143</v>
      </c>
      <c r="E48">
        <f>1-D48</f>
        <v>0.910714285714286</v>
      </c>
      <c r="F48">
        <f>C48*D48</f>
        <v>165.178571428571</v>
      </c>
      <c r="G48">
        <f>(D48*E48*C48)^0.5</f>
        <v>12.2650105867821</v>
      </c>
      <c r="I48">
        <f>IF(AND(H50&gt;80,H50&lt;=120),1,0)</f>
        <v>0</v>
      </c>
      <c r="J48" s="31" t="s">
        <v>200</v>
      </c>
      <c r="K48" s="31"/>
      <c r="L48" s="31"/>
      <c r="M48" s="31"/>
      <c r="N48" s="31"/>
      <c r="O48" s="31"/>
      <c r="P48" s="31"/>
      <c r="Q48" s="31"/>
    </row>
    <row r="49" spans="1:17">
      <c r="A49">
        <v>3</v>
      </c>
      <c r="B49">
        <v>1.21113155694716e-5</v>
      </c>
      <c r="F49" t="s">
        <v>201</v>
      </c>
      <c r="G49" t="s">
        <v>202</v>
      </c>
      <c r="H49" t="s">
        <v>203</v>
      </c>
      <c r="I49">
        <f>IF(AND(H50&gt;120,H50&lt;=160),1,0)</f>
        <v>1</v>
      </c>
      <c r="J49" s="31" t="s">
        <v>204</v>
      </c>
      <c r="K49" s="31"/>
      <c r="L49" s="31"/>
      <c r="M49" s="31"/>
      <c r="N49" s="31"/>
      <c r="O49" s="31"/>
      <c r="P49" s="31"/>
      <c r="Q49" s="31"/>
    </row>
    <row r="50" spans="1:17">
      <c r="A50">
        <v>4</v>
      </c>
      <c r="B50">
        <v>1.57857885757796e-5</v>
      </c>
      <c r="F50">
        <f>D8-F48</f>
        <v>-15.1785714285714</v>
      </c>
      <c r="G50">
        <f>ROUND(F50/G48*50+200,0)</f>
        <v>138</v>
      </c>
      <c r="H50">
        <f>IF(G50&lt;0,0,IF(G50&gt;400,400,G50))</f>
        <v>138</v>
      </c>
      <c r="I50">
        <f>IF(AND(H50&gt;160,H50&lt;=240),1,0)</f>
        <v>0</v>
      </c>
      <c r="J50" s="31" t="s">
        <v>205</v>
      </c>
      <c r="K50" s="31"/>
      <c r="L50" s="31"/>
      <c r="M50" s="31"/>
      <c r="N50" s="31"/>
      <c r="O50" s="31"/>
      <c r="P50" s="31"/>
      <c r="Q50" s="31"/>
    </row>
    <row r="51" spans="1:17">
      <c r="A51">
        <v>5</v>
      </c>
      <c r="B51">
        <v>1.97591391922322e-5</v>
      </c>
      <c r="I51">
        <f>IF(AND(H50&gt;240,H50&lt;=280),1,0)</f>
        <v>0</v>
      </c>
      <c r="J51" s="31" t="s">
        <v>206</v>
      </c>
      <c r="K51" s="31"/>
      <c r="L51" s="31"/>
      <c r="M51" s="31"/>
      <c r="N51" s="31"/>
      <c r="O51" s="31"/>
      <c r="P51" s="31"/>
      <c r="Q51" s="31"/>
    </row>
    <row r="52" spans="1:17">
      <c r="A52">
        <v>6</v>
      </c>
      <c r="B52">
        <v>2.40539595245514e-5</v>
      </c>
      <c r="I52">
        <f>IF(AND(H50&gt;280,H50&lt;=320),1,0)</f>
        <v>0</v>
      </c>
      <c r="J52" s="31" t="s">
        <v>207</v>
      </c>
      <c r="K52" s="31"/>
      <c r="L52" s="31"/>
      <c r="M52" s="31"/>
      <c r="N52" s="31"/>
      <c r="O52" s="31"/>
      <c r="P52" s="31"/>
      <c r="Q52" s="31"/>
    </row>
    <row r="53" spans="1:17">
      <c r="A53">
        <v>7</v>
      </c>
      <c r="B53">
        <v>2.86944019998066e-5</v>
      </c>
      <c r="I53">
        <f>IF(AND(H50&gt;320,H50&lt;400),1,0)</f>
        <v>0</v>
      </c>
      <c r="J53" s="31" t="s">
        <v>208</v>
      </c>
      <c r="K53" s="31"/>
      <c r="L53" s="31"/>
      <c r="M53" s="31"/>
      <c r="N53" s="31"/>
      <c r="O53" s="31"/>
      <c r="P53" s="31"/>
      <c r="Q53" s="31"/>
    </row>
    <row r="54" spans="1:17">
      <c r="A54">
        <v>8</v>
      </c>
      <c r="B54">
        <v>3.37062751261618e-5</v>
      </c>
      <c r="I54">
        <f>IF(H50=400,1,0)</f>
        <v>0</v>
      </c>
      <c r="J54" s="31" t="s">
        <v>209</v>
      </c>
      <c r="K54" s="31"/>
      <c r="L54" s="31"/>
      <c r="M54" s="31"/>
      <c r="N54" s="31"/>
      <c r="O54" s="31"/>
      <c r="P54" s="31"/>
      <c r="Q54" s="31"/>
    </row>
    <row r="55" spans="1:2">
      <c r="A55">
        <v>9</v>
      </c>
      <c r="B55">
        <v>3.91171442036085e-5</v>
      </c>
    </row>
    <row r="56" ht="15.15" spans="1:2">
      <c r="A56">
        <v>10</v>
      </c>
      <c r="B56">
        <v>4.49564371736543e-5</v>
      </c>
    </row>
    <row r="57" ht="15.15" spans="1:15">
      <c r="A57">
        <v>11</v>
      </c>
      <c r="B57">
        <v>5.12555557981578e-5</v>
      </c>
      <c r="D57" s="284" t="s">
        <v>210</v>
      </c>
      <c r="E57" s="285"/>
      <c r="F57" s="285"/>
      <c r="G57" s="285"/>
      <c r="H57" s="285"/>
      <c r="I57" s="285"/>
      <c r="J57" s="285"/>
      <c r="K57" s="285"/>
      <c r="L57" s="285"/>
      <c r="M57" s="285"/>
      <c r="N57" s="285"/>
      <c r="O57" s="294"/>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31" t="s">
        <v>211</v>
      </c>
      <c r="E62" s="31"/>
      <c r="F62" s="31"/>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2">
      <c r="A70">
        <v>24</v>
      </c>
      <c r="B70">
        <v>0.000193665032499136</v>
      </c>
      <c r="L70" s="30"/>
    </row>
    <row r="71" spans="1:12">
      <c r="A71">
        <v>25</v>
      </c>
      <c r="B71">
        <v>0.000211119745928457</v>
      </c>
      <c r="L71" s="30"/>
    </row>
    <row r="72" spans="1:12">
      <c r="A72">
        <v>26</v>
      </c>
      <c r="B72">
        <v>0.000229836325192643</v>
      </c>
      <c r="L72" s="30"/>
    </row>
    <row r="73" spans="1:12">
      <c r="A73">
        <v>27</v>
      </c>
      <c r="B73">
        <v>0.000249897968980484</v>
      </c>
      <c r="L73" s="30"/>
    </row>
    <row r="74" spans="1:12">
      <c r="A74">
        <v>28</v>
      </c>
      <c r="B74">
        <v>0.000271392740549814</v>
      </c>
      <c r="L74" s="30"/>
    </row>
    <row r="75" spans="1:14">
      <c r="A75">
        <v>29</v>
      </c>
      <c r="B75">
        <v>0.000294413806848115</v>
      </c>
      <c r="L75" s="30"/>
      <c r="N75" s="295"/>
    </row>
    <row r="76" spans="1:2">
      <c r="A76">
        <v>30</v>
      </c>
      <c r="B76">
        <v>0.000319059686261005</v>
      </c>
    </row>
    <row r="77" spans="1:2">
      <c r="A77">
        <v>31</v>
      </c>
      <c r="B77">
        <v>0.000345434505090216</v>
      </c>
    </row>
    <row r="78" spans="1:2">
      <c r="A78">
        <v>32</v>
      </c>
      <c r="B78">
        <v>0.00037364826284827</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D57:O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D1" workbookViewId="0">
      <selection activeCell="D1" sqref="D1"/>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16</v>
      </c>
      <c r="B1" t="s">
        <v>212</v>
      </c>
      <c r="C1">
        <f>数据表!I3</f>
        <v>24</v>
      </c>
      <c r="D1" t="s">
        <v>212</v>
      </c>
      <c r="F1" s="1" t="s">
        <v>102</v>
      </c>
      <c r="G1" s="2"/>
      <c r="H1" s="1" t="s">
        <v>213</v>
      </c>
      <c r="I1" s="2"/>
      <c r="J1" s="1" t="s">
        <v>214</v>
      </c>
      <c r="K1" s="2"/>
      <c r="L1" s="1" t="s">
        <v>215</v>
      </c>
      <c r="M1" s="2"/>
      <c r="N1" s="1" t="s">
        <v>216</v>
      </c>
      <c r="O1" s="160"/>
      <c r="P1" s="160"/>
      <c r="Q1" s="2"/>
      <c r="R1" s="218" t="s">
        <v>217</v>
      </c>
      <c r="S1" s="219"/>
      <c r="T1" s="219"/>
      <c r="U1" s="220"/>
      <c r="V1" s="221"/>
    </row>
    <row r="2" ht="16.35" spans="1:23">
      <c r="A2">
        <f>数据表!H4</f>
        <v>23</v>
      </c>
      <c r="B2" t="s">
        <v>218</v>
      </c>
      <c r="C2">
        <f>数据表!I4</f>
        <v>25</v>
      </c>
      <c r="D2" t="s">
        <v>218</v>
      </c>
      <c r="F2" s="3" t="s">
        <v>219</v>
      </c>
      <c r="G2" s="4" t="s">
        <v>220</v>
      </c>
      <c r="H2" s="143" t="s">
        <v>221</v>
      </c>
      <c r="I2" s="161" t="s">
        <v>222</v>
      </c>
      <c r="J2" s="162" t="s">
        <v>221</v>
      </c>
      <c r="K2" s="163" t="s">
        <v>222</v>
      </c>
      <c r="L2" s="164" t="s">
        <v>119</v>
      </c>
      <c r="M2" s="165" t="s">
        <v>118</v>
      </c>
      <c r="N2" s="166" t="s">
        <v>73</v>
      </c>
      <c r="O2" s="167" t="s">
        <v>78</v>
      </c>
      <c r="P2" s="168" t="s">
        <v>120</v>
      </c>
      <c r="Q2" s="222" t="s">
        <v>89</v>
      </c>
      <c r="R2" s="223" t="s">
        <v>223</v>
      </c>
      <c r="S2" s="224" t="s">
        <v>224</v>
      </c>
      <c r="T2" s="225" t="s">
        <v>225</v>
      </c>
      <c r="U2" s="226" t="s">
        <v>226</v>
      </c>
      <c r="V2" s="227" t="s">
        <v>227</v>
      </c>
      <c r="W2" s="228" t="s">
        <v>228</v>
      </c>
    </row>
    <row r="3" ht="15.6" spans="1:24">
      <c r="A3">
        <f>数据表!H5</f>
        <v>25</v>
      </c>
      <c r="B3" t="s">
        <v>229</v>
      </c>
      <c r="C3">
        <f>数据表!I5</f>
        <v>26</v>
      </c>
      <c r="D3" t="s">
        <v>229</v>
      </c>
      <c r="F3" s="5" t="s">
        <v>230</v>
      </c>
      <c r="G3" s="144">
        <v>1</v>
      </c>
      <c r="H3" s="145">
        <f>COUNTIF(U4:U28,"&gt;"&amp;U3)+1</f>
        <v>16</v>
      </c>
      <c r="I3" s="153">
        <f>COUNTIF(V4:V28,"&gt;"&amp;V3)+1</f>
        <v>24</v>
      </c>
      <c r="J3" s="169">
        <f t="shared" ref="J3:J10" si="0">T3/R3*100</f>
        <v>44.2631111111111</v>
      </c>
      <c r="K3" s="170">
        <f>T3/S3*100</f>
        <v>16.5986666666667</v>
      </c>
      <c r="L3" s="171">
        <v>0</v>
      </c>
      <c r="M3" s="172">
        <v>3</v>
      </c>
      <c r="N3" s="173">
        <v>2.8</v>
      </c>
      <c r="O3" s="174">
        <v>0.71</v>
      </c>
      <c r="P3" s="175">
        <v>40</v>
      </c>
      <c r="Q3" s="229">
        <v>0</v>
      </c>
      <c r="R3" s="192">
        <f>L3*K32+M3*L32+(G3+F32)*G32</f>
        <v>4500</v>
      </c>
      <c r="S3" s="230">
        <f>IF(G3&gt;M32,G3*G32-M32*G34,M32*G33)+L3*K32+M3*L32</f>
        <v>12000</v>
      </c>
      <c r="T3" s="231">
        <f>(N3*'倾向-优先级表'!K117+O3*'倾向-优先级表'!L117+Q3*'倾向-优先级表'!N117)*G3+P3*'倾向-优先级表'!M117*G3</f>
        <v>1991.84</v>
      </c>
      <c r="U3" s="232">
        <f>(J3-X3)*R3</f>
        <v>-516181</v>
      </c>
      <c r="V3" s="233">
        <f>(K3-'倾向-优先级表'!E7)*S3</f>
        <v>-624376</v>
      </c>
      <c r="W3" s="98">
        <f>-X3*R3</f>
        <v>-715365</v>
      </c>
      <c r="X3">
        <f>'倾向-优先级表'!E6</f>
        <v>158.97</v>
      </c>
    </row>
    <row r="4" ht="15.6" spans="1:24">
      <c r="A4">
        <f>数据表!H6</f>
        <v>11</v>
      </c>
      <c r="B4" t="s">
        <v>231</v>
      </c>
      <c r="C4">
        <f>数据表!I6</f>
        <v>22</v>
      </c>
      <c r="D4" t="s">
        <v>231</v>
      </c>
      <c r="F4" s="7" t="s">
        <v>230</v>
      </c>
      <c r="G4" s="146">
        <v>2</v>
      </c>
      <c r="H4" s="147">
        <f>COUNTIF(U5:U28,"&gt;"&amp;U4)+1+COUNTIF(U3:U3,"&gt;="&amp;U4)</f>
        <v>23</v>
      </c>
      <c r="I4" s="176">
        <f>COUNTIF(V5:V28,"&gt;"&amp;V4)+1+COUNTIF(V3:V3,"&gt;="&amp;V4)</f>
        <v>25</v>
      </c>
      <c r="J4" s="177">
        <f t="shared" si="0"/>
        <v>31.8862222222222</v>
      </c>
      <c r="K4" s="178">
        <f t="shared" ref="K3:K28" si="1">T4/S4*100</f>
        <v>19.1317333333333</v>
      </c>
      <c r="L4" s="179">
        <v>0</v>
      </c>
      <c r="M4" s="180">
        <v>6</v>
      </c>
      <c r="N4" s="181">
        <v>1.96</v>
      </c>
      <c r="O4" s="182">
        <v>0.54</v>
      </c>
      <c r="P4" s="183">
        <v>30.16</v>
      </c>
      <c r="Q4" s="234">
        <v>0</v>
      </c>
      <c r="R4" s="179">
        <f>L4*K32+M4*L32+(G4+F32)*G32</f>
        <v>9000</v>
      </c>
      <c r="S4" s="235">
        <f>IF(G4&gt;M32,G4*G32-M32*G34,M32*G33)+L4*K32+M4*L32</f>
        <v>15000</v>
      </c>
      <c r="T4" s="236">
        <f>(N4*'倾向-优先级表'!K117+O4*'倾向-优先级表'!L117+Q4*'倾向-优先级表'!N117)*G4+P4*'倾向-优先级表'!M117*G4</f>
        <v>2869.76</v>
      </c>
      <c r="U4" s="237">
        <f t="shared" ref="U4:U28" si="2">(J4-X4)*R4</f>
        <v>-1143754</v>
      </c>
      <c r="V4" s="238">
        <f>(K4-'倾向-优先级表'!E7)*S4</f>
        <v>-742474</v>
      </c>
      <c r="W4" s="98">
        <f t="shared" ref="W4:W28" si="3">-X4*R4</f>
        <v>-1430730</v>
      </c>
      <c r="X4">
        <f>'倾向-优先级表'!E6</f>
        <v>158.97</v>
      </c>
    </row>
    <row r="5" ht="15.6" spans="1:24">
      <c r="A5">
        <f>数据表!H7</f>
        <v>5</v>
      </c>
      <c r="B5" t="s">
        <v>232</v>
      </c>
      <c r="C5">
        <f>数据表!I7</f>
        <v>16</v>
      </c>
      <c r="D5" t="s">
        <v>232</v>
      </c>
      <c r="F5" s="9" t="s">
        <v>230</v>
      </c>
      <c r="G5" s="148">
        <v>4</v>
      </c>
      <c r="H5" s="147">
        <f>COUNTIF(U6:U28,"&gt;"&amp;U5)+1+COUNTIF(U3:U4,"&gt;="&amp;U5)</f>
        <v>25</v>
      </c>
      <c r="I5" s="176">
        <f>COUNTIF(V6:V28,"&gt;"&amp;V5)+1+COUNTIF(V3:V4,"&gt;="&amp;V5)</f>
        <v>26</v>
      </c>
      <c r="J5" s="177">
        <f t="shared" si="0"/>
        <v>23.777</v>
      </c>
      <c r="K5" s="178">
        <f t="shared" si="1"/>
        <v>20.0227368421053</v>
      </c>
      <c r="L5" s="179">
        <v>0</v>
      </c>
      <c r="M5" s="180">
        <v>10</v>
      </c>
      <c r="N5" s="184">
        <v>1.395</v>
      </c>
      <c r="O5" s="185">
        <v>0.31</v>
      </c>
      <c r="P5" s="183">
        <v>20.77</v>
      </c>
      <c r="Q5" s="234">
        <v>0</v>
      </c>
      <c r="R5" s="179">
        <f>L5*K32+M5*L32+(G5+F32)*G32</f>
        <v>16000</v>
      </c>
      <c r="S5" s="235">
        <f>IF(G5&gt;M32,G5*G32-M32*G34,M32*G33)+L5*K32+M5*L32</f>
        <v>19000</v>
      </c>
      <c r="T5" s="236">
        <f>(N5*'倾向-优先级表'!K117+O5*'倾向-优先级表'!L117+Q5*'倾向-优先级表'!N117)*G5+P5*'倾向-优先级表'!M117*G5</f>
        <v>3804.32</v>
      </c>
      <c r="U5" s="237">
        <f t="shared" si="2"/>
        <v>-2163088</v>
      </c>
      <c r="V5" s="238">
        <f>(K5-'倾向-优先级表'!E7)*S5</f>
        <v>-923538</v>
      </c>
      <c r="W5" s="98">
        <f t="shared" si="3"/>
        <v>-2543520</v>
      </c>
      <c r="X5">
        <f>'倾向-优先级表'!E6</f>
        <v>158.97</v>
      </c>
    </row>
    <row r="6" ht="16.35" spans="1:24">
      <c r="A6">
        <f>数据表!H8</f>
        <v>6</v>
      </c>
      <c r="B6" t="s">
        <v>233</v>
      </c>
      <c r="C6">
        <f>数据表!I8</f>
        <v>9</v>
      </c>
      <c r="D6" t="s">
        <v>233</v>
      </c>
      <c r="F6" s="11" t="s">
        <v>234</v>
      </c>
      <c r="G6" s="149">
        <v>0.5</v>
      </c>
      <c r="H6" s="150">
        <f>COUNTIF(U7:U28,"&gt;"&amp;U6)+1+COUNTIF(U3:U5,"&gt;="&amp;U6)</f>
        <v>11</v>
      </c>
      <c r="I6" s="186">
        <f>COUNTIF(V7:V28,"&gt;"&amp;V6)+1+COUNTIF(V3:V5,"&gt;="&amp;V6)</f>
        <v>22</v>
      </c>
      <c r="J6" s="187">
        <f t="shared" si="0"/>
        <v>86.3445333333333</v>
      </c>
      <c r="K6" s="188">
        <f t="shared" si="1"/>
        <v>26.9826666666667</v>
      </c>
      <c r="L6" s="189">
        <v>8000</v>
      </c>
      <c r="M6" s="190">
        <v>3</v>
      </c>
      <c r="N6" s="173">
        <v>9.78</v>
      </c>
      <c r="O6" s="174">
        <v>1.97</v>
      </c>
      <c r="P6" s="175">
        <v>194.49</v>
      </c>
      <c r="Q6" s="239">
        <v>0</v>
      </c>
      <c r="R6" s="189">
        <f>L6*K32+M6*L32+(G6+F32)*G32</f>
        <v>3750</v>
      </c>
      <c r="S6" s="240">
        <f>IF(G6&gt;M32,G6*G32-M32*G34,M32*G33)+L6*K32+M6*L32</f>
        <v>12000</v>
      </c>
      <c r="T6" s="241">
        <f>(N6*'倾向-优先级表'!K117+O6*'倾向-优先级表'!L117+Q6*'倾向-优先级表'!N117)*G6+P6*'倾向-优先级表'!M117*G6</f>
        <v>3237.92</v>
      </c>
      <c r="U6" s="242">
        <f t="shared" si="2"/>
        <v>-272345.5</v>
      </c>
      <c r="V6" s="243">
        <f>(K6-'倾向-优先级表'!E7)*S6</f>
        <v>-499768</v>
      </c>
      <c r="W6" s="98">
        <f t="shared" si="3"/>
        <v>-596137.5</v>
      </c>
      <c r="X6">
        <f>'倾向-优先级表'!E6</f>
        <v>158.97</v>
      </c>
    </row>
    <row r="7" ht="15.6" spans="1:24">
      <c r="A7">
        <f>数据表!H9</f>
        <v>4</v>
      </c>
      <c r="B7" t="s">
        <v>235</v>
      </c>
      <c r="C7">
        <f>数据表!I9</f>
        <v>2</v>
      </c>
      <c r="D7" t="s">
        <v>235</v>
      </c>
      <c r="F7" s="13" t="s">
        <v>236</v>
      </c>
      <c r="G7" s="14">
        <v>1</v>
      </c>
      <c r="H7" s="151">
        <f>COUNTIF(U8:U28,"&gt;"&amp;U7)+1+COUNTIF(U3:U6,"&gt;="&amp;U7)</f>
        <v>5</v>
      </c>
      <c r="I7" s="154">
        <f>COUNTIF(V8:V28,"&gt;"&amp;V7)+1+COUNTIF(V3:V6,"&gt;="&amp;V7)</f>
        <v>16</v>
      </c>
      <c r="J7" s="191">
        <f t="shared" si="0"/>
        <v>196.352</v>
      </c>
      <c r="K7" s="170">
        <f t="shared" si="1"/>
        <v>32.7253333333333</v>
      </c>
      <c r="L7" s="192">
        <v>0</v>
      </c>
      <c r="M7" s="193">
        <v>0</v>
      </c>
      <c r="N7" s="194">
        <v>0</v>
      </c>
      <c r="O7" s="195">
        <v>0</v>
      </c>
      <c r="P7" s="196">
        <v>0</v>
      </c>
      <c r="Q7" s="244">
        <v>0.052</v>
      </c>
      <c r="R7" s="192">
        <f>L7*K32+M7*L32+(G7+F32)*G32</f>
        <v>1500</v>
      </c>
      <c r="S7" s="230">
        <f>IF(G7&gt;M32,G7*G32-M32*G34,M32*G33)+L7*K32+M7*L32</f>
        <v>9000</v>
      </c>
      <c r="T7" s="231">
        <f>(N7*'倾向-优先级表'!K117+O7*'倾向-优先级表'!L117+Q7*'倾向-优先级表'!N117)*G7</f>
        <v>2945.28</v>
      </c>
      <c r="U7" s="232">
        <f t="shared" si="2"/>
        <v>56073</v>
      </c>
      <c r="V7" s="233">
        <f>(K7-'倾向-优先级表'!E7)*S7</f>
        <v>-323142</v>
      </c>
      <c r="W7" s="98">
        <f t="shared" si="3"/>
        <v>-238455</v>
      </c>
      <c r="X7">
        <f>'倾向-优先级表'!E6</f>
        <v>158.97</v>
      </c>
    </row>
    <row r="8" ht="15.6" spans="1:24">
      <c r="A8">
        <f>数据表!H10</f>
        <v>1</v>
      </c>
      <c r="B8" t="s">
        <v>237</v>
      </c>
      <c r="C8">
        <f>数据表!I10</f>
        <v>1</v>
      </c>
      <c r="D8" t="s">
        <v>237</v>
      </c>
      <c r="F8" s="15" t="s">
        <v>236</v>
      </c>
      <c r="G8" s="16">
        <v>2</v>
      </c>
      <c r="H8" s="151">
        <f>COUNTIF(U9:U28,"&gt;"&amp;U8)+1+COUNTIF(U3:U7,"&gt;="&amp;U8)</f>
        <v>6</v>
      </c>
      <c r="I8" s="154">
        <f>COUNTIF(V9:V28,"&gt;"&amp;V8)+1+COUNTIF(V3:V7,"&gt;="&amp;V8)</f>
        <v>9</v>
      </c>
      <c r="J8" s="177">
        <f t="shared" si="0"/>
        <v>177.472</v>
      </c>
      <c r="K8" s="178">
        <f t="shared" si="1"/>
        <v>59.1573333333333</v>
      </c>
      <c r="L8" s="179">
        <v>0</v>
      </c>
      <c r="M8" s="180">
        <v>0</v>
      </c>
      <c r="N8" s="184">
        <v>0</v>
      </c>
      <c r="O8" s="185">
        <v>0</v>
      </c>
      <c r="P8" s="197">
        <v>0</v>
      </c>
      <c r="Q8" s="234">
        <v>0.047</v>
      </c>
      <c r="R8" s="179">
        <f>L8*K32+M8*L32+(G8+F32)*G32</f>
        <v>3000</v>
      </c>
      <c r="S8" s="235">
        <f>IF(G8&gt;M32,G8*G32-M32*G34,M32*G33)+L8*K32+M8*L32</f>
        <v>9000</v>
      </c>
      <c r="T8" s="236">
        <f>(N8*'倾向-优先级表'!K117+O8*'倾向-优先级表'!L117+Q8*'倾向-优先级表'!N117)*G8</f>
        <v>5324.16</v>
      </c>
      <c r="U8" s="237">
        <f t="shared" si="2"/>
        <v>55505.9999999999</v>
      </c>
      <c r="V8" s="238">
        <f>(K8-'倾向-优先级表'!E7)*S8</f>
        <v>-85254</v>
      </c>
      <c r="W8" s="98">
        <f t="shared" si="3"/>
        <v>-476910</v>
      </c>
      <c r="X8">
        <f>'倾向-优先级表'!E6</f>
        <v>158.97</v>
      </c>
    </row>
    <row r="9" ht="15.6" spans="1:24">
      <c r="A9">
        <f>数据表!H11</f>
        <v>13</v>
      </c>
      <c r="B9" t="s">
        <v>238</v>
      </c>
      <c r="C9">
        <f>数据表!I11</f>
        <v>15</v>
      </c>
      <c r="D9" t="s">
        <v>238</v>
      </c>
      <c r="F9" s="7" t="s">
        <v>236</v>
      </c>
      <c r="G9" s="8">
        <v>4</v>
      </c>
      <c r="H9" s="151">
        <f>COUNTIF(U10:U28,"&gt;"&amp;U9)+1+COUNTIF(U3:U8,"&gt;="&amp;U9)</f>
        <v>4</v>
      </c>
      <c r="I9" s="154">
        <f>COUNTIF(V10:V28,"&gt;"&amp;V9)+1+COUNTIF(V3:V8,"&gt;="&amp;V9)</f>
        <v>2</v>
      </c>
      <c r="J9" s="177">
        <f t="shared" si="0"/>
        <v>192.576</v>
      </c>
      <c r="K9" s="178">
        <f t="shared" si="1"/>
        <v>128.384</v>
      </c>
      <c r="L9" s="179">
        <v>0</v>
      </c>
      <c r="M9" s="180">
        <v>0</v>
      </c>
      <c r="N9" s="173">
        <v>0</v>
      </c>
      <c r="O9" s="174">
        <v>0</v>
      </c>
      <c r="P9" s="198">
        <v>0</v>
      </c>
      <c r="Q9" s="234">
        <v>0.051</v>
      </c>
      <c r="R9" s="179">
        <f>L9*K32+M9*L32+(G9+F32)*G32</f>
        <v>6000</v>
      </c>
      <c r="S9" s="235">
        <f>IF(G9&gt;M32,G9*G32-M32*G34,M32*G33)+L9*K32+M9*L32</f>
        <v>9000</v>
      </c>
      <c r="T9" s="236">
        <f>(N9*'倾向-优先级表'!K117+O9*'倾向-优先级表'!L117+Q9*'倾向-优先级表'!N117)*G9</f>
        <v>11554.56</v>
      </c>
      <c r="U9" s="237">
        <f t="shared" si="2"/>
        <v>201636</v>
      </c>
      <c r="V9" s="238">
        <f>(K9-'倾向-优先级表'!E7)*S9</f>
        <v>537786</v>
      </c>
      <c r="W9" s="98">
        <f t="shared" si="3"/>
        <v>-953820</v>
      </c>
      <c r="X9">
        <f>'倾向-优先级表'!E6</f>
        <v>158.97</v>
      </c>
    </row>
    <row r="10" ht="16.35" spans="1:24">
      <c r="A10">
        <f>数据表!H12</f>
        <v>19</v>
      </c>
      <c r="B10" t="s">
        <v>239</v>
      </c>
      <c r="C10">
        <f>数据表!I12</f>
        <v>11</v>
      </c>
      <c r="D10" t="s">
        <v>239</v>
      </c>
      <c r="F10" s="17" t="s">
        <v>236</v>
      </c>
      <c r="G10" s="18">
        <v>0.5</v>
      </c>
      <c r="H10" s="152">
        <f>COUNTIF(U11:U28,"&gt;"&amp;U10)+1+COUNTIF(U3:U9,"&gt;="&amp;U10)</f>
        <v>1</v>
      </c>
      <c r="I10" s="155">
        <f>COUNTIF(V11:V28,"&gt;"&amp;V10)+1+COUNTIF(V3:V9,"&gt;="&amp;V10)</f>
        <v>1</v>
      </c>
      <c r="J10" s="199">
        <f t="shared" si="0"/>
        <v>3081.216</v>
      </c>
      <c r="K10" s="188">
        <f t="shared" si="1"/>
        <v>256.768</v>
      </c>
      <c r="L10" s="189">
        <v>5000</v>
      </c>
      <c r="M10" s="190">
        <v>0</v>
      </c>
      <c r="N10" s="200">
        <v>0</v>
      </c>
      <c r="O10" s="201">
        <v>0</v>
      </c>
      <c r="P10" s="202">
        <v>0</v>
      </c>
      <c r="Q10" s="239">
        <v>0.816</v>
      </c>
      <c r="R10" s="189">
        <f>L10*K32+M10*L32+(G10+F32)*G32</f>
        <v>750</v>
      </c>
      <c r="S10" s="240">
        <f>IF(G10&gt;M32,G10*G32-M32*G34,M32*G33)+L10*K32+M10*L32</f>
        <v>9000</v>
      </c>
      <c r="T10" s="241">
        <f>(N10*'倾向-优先级表'!K117+O10*'倾向-优先级表'!L117+Q10*'倾向-优先级表'!N117)*G10</f>
        <v>23109.12</v>
      </c>
      <c r="U10" s="245">
        <f t="shared" si="2"/>
        <v>2191684.5</v>
      </c>
      <c r="V10" s="246">
        <f>(K10-'倾向-优先级表'!E7)*S10</f>
        <v>1693242</v>
      </c>
      <c r="W10" s="98">
        <f t="shared" si="3"/>
        <v>-119227.5</v>
      </c>
      <c r="X10">
        <f>'倾向-优先级表'!E6</f>
        <v>158.97</v>
      </c>
    </row>
    <row r="11" ht="15.6" spans="1:24">
      <c r="A11">
        <f>数据表!H13</f>
        <v>22</v>
      </c>
      <c r="B11" t="s">
        <v>240</v>
      </c>
      <c r="C11">
        <f>数据表!I13</f>
        <v>8</v>
      </c>
      <c r="D11" t="s">
        <v>240</v>
      </c>
      <c r="F11" s="19" t="s">
        <v>241</v>
      </c>
      <c r="G11" s="6">
        <v>2.5</v>
      </c>
      <c r="H11" s="153">
        <f>COUNTIF(U12:U28,"&gt;"&amp;U11)+1+COUNTIF(U3:U10,"&gt;="&amp;U11)</f>
        <v>13</v>
      </c>
      <c r="I11" s="153">
        <f>COUNTIF(V12:V28,"&gt;"&amp;V11)+1+COUNTIF(V3:V10,"&gt;="&amp;V11)</f>
        <v>15</v>
      </c>
      <c r="J11" s="169">
        <f t="shared" ref="J11:J28" si="4">T11/R11*100</f>
        <v>81.8133333333333</v>
      </c>
      <c r="K11" s="170">
        <f t="shared" si="1"/>
        <v>34.0888888888889</v>
      </c>
      <c r="L11" s="192">
        <v>3000</v>
      </c>
      <c r="M11" s="193">
        <v>0</v>
      </c>
      <c r="N11" s="203">
        <v>0.92</v>
      </c>
      <c r="O11" s="204">
        <v>0</v>
      </c>
      <c r="P11" s="205">
        <v>0</v>
      </c>
      <c r="Q11" s="229">
        <v>0.014</v>
      </c>
      <c r="R11" s="192">
        <f>L11*K32+M11*L32+(G11+F32)*G32</f>
        <v>3750</v>
      </c>
      <c r="S11" s="230">
        <f>IF(G11&gt;M32,G11*G32-M32*G34,M32*G33)+L11*K32+M10*L32</f>
        <v>9000</v>
      </c>
      <c r="T11" s="231">
        <f>(N11*'倾向-优先级表'!K117+O11*'倾向-优先级表'!L117+Q11*'倾向-优先级表'!N117)*G11</f>
        <v>3068</v>
      </c>
      <c r="U11" s="247">
        <f t="shared" si="2"/>
        <v>-289337.5</v>
      </c>
      <c r="V11" s="248">
        <f>(K11-'倾向-优先级表'!E7)*S11</f>
        <v>-310870</v>
      </c>
      <c r="W11" s="98">
        <f t="shared" si="3"/>
        <v>-596137.5</v>
      </c>
      <c r="X11">
        <f>'倾向-优先级表'!E6</f>
        <v>158.97</v>
      </c>
    </row>
    <row r="12" ht="15.6" spans="1:24">
      <c r="A12">
        <f>数据表!H14</f>
        <v>3</v>
      </c>
      <c r="B12" t="s">
        <v>242</v>
      </c>
      <c r="C12">
        <f>数据表!I14</f>
        <v>4</v>
      </c>
      <c r="D12" t="s">
        <v>242</v>
      </c>
      <c r="F12" s="7" t="s">
        <v>241</v>
      </c>
      <c r="G12" s="8">
        <v>5</v>
      </c>
      <c r="H12" s="154">
        <f>COUNTIF(U13:U28,"&gt;"&amp;U12)+1+COUNTIF(U3:U11,"&gt;="&amp;U12)</f>
        <v>19</v>
      </c>
      <c r="I12" s="154">
        <f>COUNTIF(V13:V28,"&gt;"&amp;V12)+1+COUNTIF(V3:V11,"&gt;="&amp;V12)</f>
        <v>11</v>
      </c>
      <c r="J12" s="177">
        <f t="shared" si="4"/>
        <v>61.36</v>
      </c>
      <c r="K12" s="178">
        <f t="shared" si="1"/>
        <v>51.1333333333333</v>
      </c>
      <c r="L12" s="179">
        <v>5000</v>
      </c>
      <c r="M12" s="180">
        <v>0</v>
      </c>
      <c r="N12" s="173">
        <v>0.75</v>
      </c>
      <c r="O12" s="174">
        <v>0</v>
      </c>
      <c r="P12" s="198">
        <v>0</v>
      </c>
      <c r="Q12" s="234">
        <v>0.01</v>
      </c>
      <c r="R12" s="179">
        <f>L12*K32+M12*L32+(G12+F32)*G32</f>
        <v>7500</v>
      </c>
      <c r="S12" s="235">
        <f>IF(G12&gt;M32,G12*G32-M32*G34,M32*G33)+L12*K32+M12*L32</f>
        <v>9000</v>
      </c>
      <c r="T12" s="236">
        <f>(N12*'倾向-优先级表'!K117+O12*'倾向-优先级表'!L117+Q12*'倾向-优先级表'!N117)*G12</f>
        <v>4602</v>
      </c>
      <c r="U12" s="237">
        <f t="shared" si="2"/>
        <v>-732075</v>
      </c>
      <c r="V12" s="238">
        <f>(K12-'倾向-优先级表'!E7)*S12</f>
        <v>-157470</v>
      </c>
      <c r="W12" s="98">
        <f t="shared" si="3"/>
        <v>-1192275</v>
      </c>
      <c r="X12">
        <f>'倾向-优先级表'!E6</f>
        <v>158.97</v>
      </c>
    </row>
    <row r="13" ht="15.6" spans="1:24">
      <c r="A13">
        <f>数据表!H15</f>
        <v>10</v>
      </c>
      <c r="B13" t="s">
        <v>243</v>
      </c>
      <c r="C13">
        <f>数据表!I15</f>
        <v>13</v>
      </c>
      <c r="D13" t="s">
        <v>243</v>
      </c>
      <c r="F13" s="9" t="s">
        <v>241</v>
      </c>
      <c r="G13" s="10">
        <v>8</v>
      </c>
      <c r="H13" s="154">
        <f>COUNTIF(U14:U28,"&gt;"&amp;U13)+1+COUNTIF(U3:U12,"&gt;="&amp;U13)</f>
        <v>22</v>
      </c>
      <c r="I13" s="154">
        <f>COUNTIF(V14:V28,"&gt;"&amp;V13)+1+COUNTIF(V3:V12,"&gt;="&amp;V13)</f>
        <v>8</v>
      </c>
      <c r="J13" s="177">
        <f t="shared" si="4"/>
        <v>65.136</v>
      </c>
      <c r="K13" s="188">
        <f t="shared" si="1"/>
        <v>65.136</v>
      </c>
      <c r="L13" s="179">
        <v>8000</v>
      </c>
      <c r="M13" s="180">
        <v>0</v>
      </c>
      <c r="N13" s="181">
        <v>0.75</v>
      </c>
      <c r="O13" s="182">
        <v>0</v>
      </c>
      <c r="P13" s="206">
        <v>0</v>
      </c>
      <c r="Q13" s="249">
        <v>0.011</v>
      </c>
      <c r="R13" s="179">
        <f>L13*K32+M13*L32+(G13+F32)*G32</f>
        <v>12000</v>
      </c>
      <c r="S13" s="235">
        <f>IF(G13&gt;M32,G13*G32-M32*G34,M32*G33)+L13*K32+M13*L32</f>
        <v>12000</v>
      </c>
      <c r="T13" s="236">
        <f>(N13*'倾向-优先级表'!K117+O13*'倾向-优先级表'!L117+Q13*'倾向-优先级表'!N117)*G13</f>
        <v>7816.32</v>
      </c>
      <c r="U13" s="237">
        <f t="shared" si="2"/>
        <v>-1126008</v>
      </c>
      <c r="V13" s="238">
        <f>(K13-'倾向-优先级表'!E7)*S13</f>
        <v>-41928</v>
      </c>
      <c r="W13" s="98">
        <f t="shared" si="3"/>
        <v>-1907640</v>
      </c>
      <c r="X13">
        <f>'倾向-优先级表'!E6</f>
        <v>158.97</v>
      </c>
    </row>
    <row r="14" ht="15.6" spans="1:24">
      <c r="A14">
        <f>数据表!H16</f>
        <v>18</v>
      </c>
      <c r="B14" t="s">
        <v>244</v>
      </c>
      <c r="C14">
        <f>数据表!I16</f>
        <v>10</v>
      </c>
      <c r="D14" t="s">
        <v>244</v>
      </c>
      <c r="F14" s="9" t="s">
        <v>241</v>
      </c>
      <c r="G14" s="10">
        <v>0.5</v>
      </c>
      <c r="H14" s="154">
        <f>COUNTIF(U15:U28,"&gt;"&amp;U14)+1+COUNTIF(U3:U13,"&gt;="&amp;U14)</f>
        <v>3</v>
      </c>
      <c r="I14" s="154">
        <f>COUNTIF(V15:V28,"&gt;"&amp;V14)+1+COUNTIF(V3:V13,"&gt;="&amp;V14)</f>
        <v>4</v>
      </c>
      <c r="J14" s="177">
        <f t="shared" si="4"/>
        <v>195.408</v>
      </c>
      <c r="K14" s="178">
        <f t="shared" si="1"/>
        <v>80.2568571428571</v>
      </c>
      <c r="L14" s="179">
        <v>5000</v>
      </c>
      <c r="M14" s="180">
        <v>5</v>
      </c>
      <c r="N14" s="184">
        <v>17.61</v>
      </c>
      <c r="O14" s="185">
        <v>0</v>
      </c>
      <c r="P14" s="197">
        <v>0</v>
      </c>
      <c r="Q14" s="234">
        <v>0.25</v>
      </c>
      <c r="R14" s="179">
        <f>L14*K32+M14*L32+(G14+F32)*G32</f>
        <v>5750</v>
      </c>
      <c r="S14" s="235">
        <f>IF(G14&gt;M32,G14*G32-M32*G34,M32*G33)+L14*K32+M14*L32</f>
        <v>14000</v>
      </c>
      <c r="T14" s="236">
        <f>(N14*'倾向-优先级表'!K117+O14*'倾向-优先级表'!L117+Q14*'倾向-优先级表'!N117)*G14</f>
        <v>11235.96</v>
      </c>
      <c r="U14" s="237">
        <f t="shared" si="2"/>
        <v>209518.5</v>
      </c>
      <c r="V14" s="238">
        <f>(K14-'倾向-优先级表'!E7)*S14</f>
        <v>162776</v>
      </c>
      <c r="W14" s="98">
        <f t="shared" si="3"/>
        <v>-914077.5</v>
      </c>
      <c r="X14">
        <f>'倾向-优先级表'!E6</f>
        <v>158.97</v>
      </c>
    </row>
    <row r="15" ht="15.6" spans="1:24">
      <c r="A15">
        <f>数据表!H17</f>
        <v>21</v>
      </c>
      <c r="B15" t="s">
        <v>245</v>
      </c>
      <c r="C15">
        <f>数据表!I17</f>
        <v>6</v>
      </c>
      <c r="D15" t="s">
        <v>245</v>
      </c>
      <c r="F15" s="15" t="s">
        <v>246</v>
      </c>
      <c r="G15" s="16">
        <v>2.5</v>
      </c>
      <c r="H15" s="154">
        <f>COUNTIF(U16:U28,"&gt;"&amp;U15)+1+COUNTIF(U3:U14,"&gt;="&amp;U15)</f>
        <v>10</v>
      </c>
      <c r="I15" s="154">
        <f>COUNTIF(V16:V28,"&gt;"&amp;V15)+1+COUNTIF(V3:V14,"&gt;="&amp;V15)</f>
        <v>13</v>
      </c>
      <c r="J15" s="177">
        <f t="shared" si="4"/>
        <v>91.2533333333333</v>
      </c>
      <c r="K15" s="188">
        <f t="shared" si="1"/>
        <v>38.0222222222222</v>
      </c>
      <c r="L15" s="179">
        <v>3000</v>
      </c>
      <c r="M15" s="180">
        <v>0</v>
      </c>
      <c r="N15" s="203">
        <v>0</v>
      </c>
      <c r="O15" s="204">
        <v>0.61</v>
      </c>
      <c r="P15" s="205">
        <v>0</v>
      </c>
      <c r="Q15" s="234">
        <v>0.014</v>
      </c>
      <c r="R15" s="179">
        <f>L15*K32+M15*L32+(G15+F32)*G32</f>
        <v>3750</v>
      </c>
      <c r="S15" s="235">
        <f>IF(G15&gt;M32,G15*G32-M32*G34,M32*G33)+L15*K32+M15*L32</f>
        <v>9000</v>
      </c>
      <c r="T15" s="236">
        <f>(N15*'倾向-优先级表'!K117+O15*'倾向-优先级表'!L117+Q15*'倾向-优先级表'!N117)*G15</f>
        <v>3422</v>
      </c>
      <c r="U15" s="237">
        <f t="shared" si="2"/>
        <v>-253937.5</v>
      </c>
      <c r="V15" s="238">
        <f>(K15-'倾向-优先级表'!E7)*S15</f>
        <v>-275470</v>
      </c>
      <c r="W15" s="98">
        <f t="shared" si="3"/>
        <v>-596137.5</v>
      </c>
      <c r="X15">
        <f>'倾向-优先级表'!E6</f>
        <v>158.97</v>
      </c>
    </row>
    <row r="16" ht="15.6" spans="1:24">
      <c r="A16">
        <f>数据表!H18</f>
        <v>2</v>
      </c>
      <c r="B16" t="s">
        <v>247</v>
      </c>
      <c r="C16">
        <f>数据表!I18</f>
        <v>3</v>
      </c>
      <c r="D16" t="s">
        <v>247</v>
      </c>
      <c r="F16" s="7" t="s">
        <v>246</v>
      </c>
      <c r="G16" s="8">
        <v>5</v>
      </c>
      <c r="H16" s="154">
        <f>COUNTIF(U17:U28,"&gt;"&amp;U16)+1+COUNTIF(U3:U15,"&gt;="&amp;U16)</f>
        <v>18</v>
      </c>
      <c r="I16" s="154">
        <f>COUNTIF(V17:V28,"&gt;"&amp;V16)+1+COUNTIF(V3:V15,"&gt;="&amp;V16)</f>
        <v>10</v>
      </c>
      <c r="J16" s="177">
        <f t="shared" si="4"/>
        <v>69.856</v>
      </c>
      <c r="K16" s="178">
        <f t="shared" si="1"/>
        <v>58.2133333333333</v>
      </c>
      <c r="L16" s="179">
        <v>5000</v>
      </c>
      <c r="M16" s="180">
        <v>0</v>
      </c>
      <c r="N16" s="173">
        <v>0</v>
      </c>
      <c r="O16" s="174">
        <v>0.51</v>
      </c>
      <c r="P16" s="198">
        <v>0</v>
      </c>
      <c r="Q16" s="234">
        <v>0.01</v>
      </c>
      <c r="R16" s="179">
        <f>L16*K32+M16*L32+(G16+F32)*G32</f>
        <v>7500</v>
      </c>
      <c r="S16" s="235">
        <f>IF(G16&gt;M32,G16*G32-M32*G34,M32*G33)+L16*K32+M16*L32</f>
        <v>9000</v>
      </c>
      <c r="T16" s="236">
        <f>(N16*'倾向-优先级表'!K117+O16*'倾向-优先级表'!L117+Q16*'倾向-优先级表'!N117)*G16</f>
        <v>5239.2</v>
      </c>
      <c r="U16" s="237">
        <f t="shared" si="2"/>
        <v>-668355</v>
      </c>
      <c r="V16" s="238">
        <f>(K16-'倾向-优先级表'!E7)*S16</f>
        <v>-93750</v>
      </c>
      <c r="W16" s="98">
        <f t="shared" si="3"/>
        <v>-1192275</v>
      </c>
      <c r="X16">
        <f>'倾向-优先级表'!E6</f>
        <v>158.97</v>
      </c>
    </row>
    <row r="17" ht="15.6" spans="1:24">
      <c r="A17">
        <f>数据表!H19</f>
        <v>7</v>
      </c>
      <c r="B17" t="s">
        <v>248</v>
      </c>
      <c r="C17">
        <f>数据表!I19</f>
        <v>20</v>
      </c>
      <c r="D17" t="s">
        <v>248</v>
      </c>
      <c r="F17" s="9" t="s">
        <v>246</v>
      </c>
      <c r="G17" s="10">
        <v>8</v>
      </c>
      <c r="H17" s="154">
        <f>COUNTIF(U18:U28,"&gt;"&amp;U17)+1+COUNTIF(U3:U16,"&gt;="&amp;U17)</f>
        <v>21</v>
      </c>
      <c r="I17" s="154">
        <f>COUNTIF(V18:V28,"&gt;"&amp;V17)+1+COUNTIF(V3:V16,"&gt;="&amp;V17)</f>
        <v>6</v>
      </c>
      <c r="J17" s="177">
        <f t="shared" si="4"/>
        <v>73.632</v>
      </c>
      <c r="K17" s="178">
        <f t="shared" si="1"/>
        <v>73.632</v>
      </c>
      <c r="L17" s="179">
        <v>8000</v>
      </c>
      <c r="M17" s="180">
        <v>0</v>
      </c>
      <c r="N17" s="184">
        <v>0</v>
      </c>
      <c r="O17" s="185">
        <v>0.51</v>
      </c>
      <c r="P17" s="197">
        <v>0</v>
      </c>
      <c r="Q17" s="234">
        <v>0.011</v>
      </c>
      <c r="R17" s="179">
        <f>L17*K32+M17*L32+(G17+F32)*G32</f>
        <v>12000</v>
      </c>
      <c r="S17" s="235">
        <f>IF(G17&gt;M32,G17*G32-M32*G34,M32*G33)+L17*K32+M17*L32</f>
        <v>12000</v>
      </c>
      <c r="T17" s="236">
        <f>(N17*'倾向-优先级表'!K117+O17*'倾向-优先级表'!L117+Q17*'倾向-优先级表'!N117)*G17</f>
        <v>8835.84</v>
      </c>
      <c r="U17" s="237">
        <f t="shared" si="2"/>
        <v>-1024056</v>
      </c>
      <c r="V17" s="238">
        <f>(K17-'倾向-优先级表'!E7)*S17</f>
        <v>60023.9999999999</v>
      </c>
      <c r="W17" s="98">
        <f t="shared" si="3"/>
        <v>-1907640</v>
      </c>
      <c r="X17">
        <f>'倾向-优先级表'!E6</f>
        <v>158.97</v>
      </c>
    </row>
    <row r="18" ht="16.35" spans="1:24">
      <c r="A18">
        <f>数据表!H20</f>
        <v>14</v>
      </c>
      <c r="B18" s="30" t="s">
        <v>249</v>
      </c>
      <c r="C18">
        <f>数据表!I20</f>
        <v>17</v>
      </c>
      <c r="D18" s="30" t="s">
        <v>249</v>
      </c>
      <c r="F18" s="20" t="s">
        <v>246</v>
      </c>
      <c r="G18" s="21">
        <v>0.5</v>
      </c>
      <c r="H18" s="155">
        <f>COUNTIF(U19:U28,"&gt;"&amp;U18)+1+COUNTIF(U3:U17,"&gt;="&amp;U18)</f>
        <v>2</v>
      </c>
      <c r="I18" s="155">
        <f>COUNTIF(V19:V28,"&gt;"&amp;V18)+1+COUNTIF(V3:V17,"&gt;="&amp;V18)</f>
        <v>3</v>
      </c>
      <c r="J18" s="187">
        <f t="shared" si="4"/>
        <v>219.746782608696</v>
      </c>
      <c r="K18" s="188">
        <f t="shared" si="1"/>
        <v>90.2531428571429</v>
      </c>
      <c r="L18" s="189">
        <v>5000</v>
      </c>
      <c r="M18" s="190">
        <v>5</v>
      </c>
      <c r="N18" s="173">
        <v>0</v>
      </c>
      <c r="O18" s="174">
        <v>11.77</v>
      </c>
      <c r="P18" s="198">
        <v>0</v>
      </c>
      <c r="Q18" s="239">
        <v>0.25</v>
      </c>
      <c r="R18" s="189">
        <f>L18*K32+M18*L32+(G18+F32)*G32</f>
        <v>5750</v>
      </c>
      <c r="S18" s="240">
        <f>IF(G18&gt;M32,G18*G32-M32*G34,M32*G33)+L18*K32+M18*L32</f>
        <v>14000</v>
      </c>
      <c r="T18" s="241">
        <f>(N18*'倾向-优先级表'!K117+O18*'倾向-优先级表'!L117+Q18*'倾向-优先级表'!N117)*G18</f>
        <v>12635.44</v>
      </c>
      <c r="U18" s="242">
        <f t="shared" si="2"/>
        <v>349466.5</v>
      </c>
      <c r="V18" s="243">
        <f>(K18-'倾向-优先级表'!E7)*S18</f>
        <v>302724</v>
      </c>
      <c r="W18" s="98">
        <f t="shared" si="3"/>
        <v>-914077.5</v>
      </c>
      <c r="X18">
        <f>'倾向-优先级表'!E6</f>
        <v>158.97</v>
      </c>
    </row>
    <row r="19" ht="15.6" spans="1:24">
      <c r="A19">
        <f>数据表!H21</f>
        <v>8</v>
      </c>
      <c r="B19" t="s">
        <v>250</v>
      </c>
      <c r="C19">
        <f>数据表!I21</f>
        <v>5</v>
      </c>
      <c r="D19" t="s">
        <v>250</v>
      </c>
      <c r="F19" s="13" t="s">
        <v>251</v>
      </c>
      <c r="G19" s="14">
        <v>1.5</v>
      </c>
      <c r="H19" s="154">
        <f>COUNTIF(U20:U28,"&gt;"&amp;U19)+1+COUNTIF(U3:U18,"&gt;="&amp;U19)</f>
        <v>7</v>
      </c>
      <c r="I19" s="154">
        <f>COUNTIF(V20:V28,"&gt;"&amp;V19)+1+COUNTIF(V3:V18,"&gt;="&amp;V19)</f>
        <v>20</v>
      </c>
      <c r="J19" s="191">
        <f t="shared" si="4"/>
        <v>88.1066666666667</v>
      </c>
      <c r="K19" s="170">
        <f t="shared" si="1"/>
        <v>22.0266666666667</v>
      </c>
      <c r="L19" s="192">
        <v>1500</v>
      </c>
      <c r="M19" s="193">
        <v>0</v>
      </c>
      <c r="N19" s="194">
        <v>0.58</v>
      </c>
      <c r="O19" s="195">
        <v>0.15</v>
      </c>
      <c r="P19" s="196">
        <v>0</v>
      </c>
      <c r="Q19" s="244">
        <v>0.016</v>
      </c>
      <c r="R19" s="192">
        <f>L19*K32+M19*L32+(G19+F32)*G32</f>
        <v>2250</v>
      </c>
      <c r="S19" s="230">
        <f>IF(G19&gt;M32,G19*G32-M32*G34,M32*G33)+L19*K32+M19*L32</f>
        <v>9000</v>
      </c>
      <c r="T19" s="231">
        <f>(N19*'倾向-优先级表'!K117+O19*'倾向-优先级表'!L117+Q19*'倾向-优先级表'!N117)*G19</f>
        <v>1982.4</v>
      </c>
      <c r="U19" s="232">
        <f t="shared" si="2"/>
        <v>-159442.5</v>
      </c>
      <c r="V19" s="233">
        <f>(K19-'倾向-优先级表'!E7)*S19</f>
        <v>-419430</v>
      </c>
      <c r="W19" s="98">
        <f t="shared" si="3"/>
        <v>-357682.5</v>
      </c>
      <c r="X19">
        <f>'倾向-优先级表'!E6</f>
        <v>158.97</v>
      </c>
    </row>
    <row r="20" ht="15.6" spans="1:24">
      <c r="A20">
        <f>数据表!H22</f>
        <v>12</v>
      </c>
      <c r="B20" t="s">
        <v>252</v>
      </c>
      <c r="C20">
        <f>数据表!I22</f>
        <v>19</v>
      </c>
      <c r="D20" t="s">
        <v>252</v>
      </c>
      <c r="F20" s="15" t="s">
        <v>251</v>
      </c>
      <c r="G20" s="16">
        <v>2.5</v>
      </c>
      <c r="H20" s="154">
        <f>COUNTIF(U21:U28,"&gt;"&amp;U20)+1+COUNTIF(U3:U19,"&gt;="&amp;U20)</f>
        <v>14</v>
      </c>
      <c r="I20" s="154">
        <f>COUNTIF(V21:V28,"&gt;"&amp;V20)+1+COUNTIF(V3:V19,"&gt;="&amp;V20)</f>
        <v>17</v>
      </c>
      <c r="J20" s="177">
        <f t="shared" si="4"/>
        <v>73.3173333333333</v>
      </c>
      <c r="K20" s="178">
        <f t="shared" si="1"/>
        <v>30.5488888888889</v>
      </c>
      <c r="L20" s="179">
        <v>3000</v>
      </c>
      <c r="M20" s="180">
        <v>0</v>
      </c>
      <c r="N20" s="184">
        <v>0.45</v>
      </c>
      <c r="O20" s="185">
        <v>0.1</v>
      </c>
      <c r="P20" s="197">
        <v>0</v>
      </c>
      <c r="Q20" s="234">
        <v>0.014</v>
      </c>
      <c r="R20" s="179">
        <f>L20*K32+M20*L32+(G20+F32)*G32</f>
        <v>3750</v>
      </c>
      <c r="S20" s="235">
        <f>IF(G20&gt;M32,G20*G32-M32*G34,M32*G33)+L20*K32+M20*L32</f>
        <v>9000</v>
      </c>
      <c r="T20" s="236">
        <f>(N20*'倾向-优先级表'!K117+O20*'倾向-优先级表'!L117+Q20*'倾向-优先级表'!N117)*G20</f>
        <v>2749.4</v>
      </c>
      <c r="U20" s="237">
        <f t="shared" si="2"/>
        <v>-321197.5</v>
      </c>
      <c r="V20" s="238">
        <f>(K20-'倾向-优先级表'!E7)*S20</f>
        <v>-342730</v>
      </c>
      <c r="W20" s="98">
        <f t="shared" si="3"/>
        <v>-596137.5</v>
      </c>
      <c r="X20">
        <f>'倾向-优先级表'!E6</f>
        <v>158.97</v>
      </c>
    </row>
    <row r="21" ht="16.35" spans="1:24">
      <c r="A21">
        <f>数据表!H23</f>
        <v>9</v>
      </c>
      <c r="B21" t="s">
        <v>253</v>
      </c>
      <c r="C21">
        <f>数据表!I23</f>
        <v>18</v>
      </c>
      <c r="D21" t="s">
        <v>253</v>
      </c>
      <c r="F21" s="22" t="s">
        <v>251</v>
      </c>
      <c r="G21" s="23">
        <v>4</v>
      </c>
      <c r="H21" s="156">
        <f>COUNTIF(U22:U28,"&gt;"&amp;U21)+1+COUNTIF(U3:U20,"&gt;="&amp;U21)</f>
        <v>8</v>
      </c>
      <c r="I21" s="156">
        <f>COUNTIF(V22:V28,"&gt;"&amp;V21)+1+COUNTIF(V3:V20,"&gt;="&amp;V21)</f>
        <v>5</v>
      </c>
      <c r="J21" s="199">
        <f t="shared" si="4"/>
        <v>123.349333333333</v>
      </c>
      <c r="K21" s="188">
        <f t="shared" si="1"/>
        <v>82.2328888888889</v>
      </c>
      <c r="L21" s="189">
        <v>6000</v>
      </c>
      <c r="M21" s="190">
        <v>0</v>
      </c>
      <c r="N21" s="207">
        <v>0.52</v>
      </c>
      <c r="O21" s="208">
        <v>0.14</v>
      </c>
      <c r="P21" s="209">
        <v>0</v>
      </c>
      <c r="Q21" s="239">
        <v>0.026</v>
      </c>
      <c r="R21" s="189">
        <f>L21*K32+M21*L32+(G21+F32)*G32</f>
        <v>6000</v>
      </c>
      <c r="S21" s="240">
        <f>IF(G21&gt;M32,G21*G32-M32*G34,M32*G33)+L21*K32+M21*L32</f>
        <v>9000</v>
      </c>
      <c r="T21" s="241">
        <f>(N21*'倾向-优先级表'!K117+O21*'倾向-优先级表'!L117+Q21*'倾向-优先级表'!N117)*G21</f>
        <v>7400.96</v>
      </c>
      <c r="U21" s="245">
        <f t="shared" si="2"/>
        <v>-213724</v>
      </c>
      <c r="V21" s="246">
        <f>(K21-'倾向-优先级表'!E7)*S21</f>
        <v>122426</v>
      </c>
      <c r="W21" s="98">
        <f t="shared" si="3"/>
        <v>-953820</v>
      </c>
      <c r="X21">
        <f>'倾向-优先级表'!E6</f>
        <v>158.97</v>
      </c>
    </row>
    <row r="22" ht="15.6" spans="1:24">
      <c r="A22">
        <f>数据表!H24</f>
        <v>15</v>
      </c>
      <c r="B22" t="s">
        <v>254</v>
      </c>
      <c r="C22">
        <f>数据表!I24</f>
        <v>7</v>
      </c>
      <c r="D22" t="s">
        <v>254</v>
      </c>
      <c r="F22" s="19" t="s">
        <v>255</v>
      </c>
      <c r="G22" s="6">
        <v>2</v>
      </c>
      <c r="H22" s="153">
        <f>COUNTIF(U23:U28,"&gt;"&amp;U22)+1+COUNTIF(U3:U21,"&gt;="&amp;U22)</f>
        <v>12</v>
      </c>
      <c r="I22" s="153">
        <f>COUNTIF(V23:V28,"&gt;"&amp;V22)+1+COUNTIF(V3:V21,"&gt;="&amp;V22)</f>
        <v>19</v>
      </c>
      <c r="J22" s="169">
        <f t="shared" si="4"/>
        <v>67.968</v>
      </c>
      <c r="K22" s="170">
        <f t="shared" si="1"/>
        <v>22.656</v>
      </c>
      <c r="L22" s="192">
        <v>0</v>
      </c>
      <c r="M22" s="193">
        <v>0</v>
      </c>
      <c r="N22" s="173">
        <v>0</v>
      </c>
      <c r="O22" s="174">
        <v>0</v>
      </c>
      <c r="P22" s="198">
        <v>0</v>
      </c>
      <c r="Q22" s="244">
        <v>0.018</v>
      </c>
      <c r="R22" s="192">
        <f>L22*K32+M22*L32+(G22+F32)*G32</f>
        <v>3000</v>
      </c>
      <c r="S22" s="230">
        <f>IF(G22&gt;M32,G22*G32-M32*G34,M32*G33)+L22*K32+M22*L32</f>
        <v>9000</v>
      </c>
      <c r="T22" s="231">
        <f>(N22*'倾向-优先级表'!K117+O22*'倾向-优先级表'!L117+Q22*'倾向-优先级表'!N117)*G22</f>
        <v>2039.04</v>
      </c>
      <c r="U22" s="247">
        <f t="shared" si="2"/>
        <v>-273006</v>
      </c>
      <c r="V22" s="248">
        <f>(K22-'倾向-优先级表'!E7)*S22</f>
        <v>-413766</v>
      </c>
      <c r="W22" s="98">
        <f t="shared" si="3"/>
        <v>-476910</v>
      </c>
      <c r="X22">
        <f>'倾向-优先级表'!E6</f>
        <v>158.97</v>
      </c>
    </row>
    <row r="23" ht="16.35" spans="1:24">
      <c r="A23">
        <f>数据表!H25</f>
        <v>20</v>
      </c>
      <c r="B23" t="s">
        <v>256</v>
      </c>
      <c r="C23">
        <f>数据表!I25</f>
        <v>12</v>
      </c>
      <c r="D23" t="s">
        <v>256</v>
      </c>
      <c r="F23" s="24" t="s">
        <v>255</v>
      </c>
      <c r="G23" s="25">
        <v>2</v>
      </c>
      <c r="H23" s="155">
        <f>COUNTIF(U24:U28,"&gt;"&amp;U23)+1+COUNTIF(U3:U22,"&gt;="&amp;U23)</f>
        <v>9</v>
      </c>
      <c r="I23" s="155">
        <f>COUNTIF(V24:V28,"&gt;"&amp;V23)+1+COUNTIF(V3:V22,"&gt;="&amp;V23)</f>
        <v>18</v>
      </c>
      <c r="J23" s="187">
        <f t="shared" si="4"/>
        <v>79.296</v>
      </c>
      <c r="K23" s="188">
        <f t="shared" si="1"/>
        <v>26.432</v>
      </c>
      <c r="L23" s="189">
        <v>0</v>
      </c>
      <c r="M23" s="190">
        <v>0</v>
      </c>
      <c r="N23" s="181">
        <v>0</v>
      </c>
      <c r="O23" s="182">
        <v>0</v>
      </c>
      <c r="P23" s="206">
        <v>0</v>
      </c>
      <c r="Q23" s="239">
        <v>0.021</v>
      </c>
      <c r="R23" s="189">
        <f>L23*K32+M23*L32+(G23+F32)*G32</f>
        <v>3000</v>
      </c>
      <c r="S23" s="240">
        <f>IF(G23&gt;M32,G23*G32-M32*G34,M32*G33)+L23*K32+M23*L32</f>
        <v>9000</v>
      </c>
      <c r="T23" s="241">
        <f>(N23*'倾向-优先级表'!K117+O23*'倾向-优先级表'!L117+Q23*'倾向-优先级表'!N117)*G23</f>
        <v>2378.88</v>
      </c>
      <c r="U23" s="242">
        <f t="shared" si="2"/>
        <v>-239022</v>
      </c>
      <c r="V23" s="243">
        <f>(K23-'倾向-优先级表'!E7)*S23</f>
        <v>-379782</v>
      </c>
      <c r="W23" s="98">
        <f t="shared" si="3"/>
        <v>-476910</v>
      </c>
      <c r="X23">
        <f>'倾向-优先级表'!E6</f>
        <v>158.97</v>
      </c>
    </row>
    <row r="24" ht="15.6" spans="1:24">
      <c r="A24">
        <f>数据表!H26</f>
        <v>24</v>
      </c>
      <c r="B24" t="s">
        <v>257</v>
      </c>
      <c r="C24">
        <f>数据表!I26</f>
        <v>14</v>
      </c>
      <c r="D24" t="s">
        <v>257</v>
      </c>
      <c r="F24" s="26" t="s">
        <v>258</v>
      </c>
      <c r="G24" s="27">
        <v>4</v>
      </c>
      <c r="H24" s="154">
        <f>COUNTIF(U25:U28,"&gt;"&amp;U24)+1+COUNTIF(U3:U23,"&gt;="&amp;U24)</f>
        <v>15</v>
      </c>
      <c r="I24" s="154">
        <f>COUNTIF(V25:V28,"&gt;"&amp;V24)+1+COUNTIF(V3:V23,"&gt;="&amp;V24)</f>
        <v>7</v>
      </c>
      <c r="J24" s="191">
        <f t="shared" si="4"/>
        <v>102.896</v>
      </c>
      <c r="K24" s="170">
        <f t="shared" si="1"/>
        <v>68.5973333333333</v>
      </c>
      <c r="L24" s="192">
        <v>0</v>
      </c>
      <c r="M24" s="193">
        <v>0</v>
      </c>
      <c r="N24" s="210">
        <v>0.33</v>
      </c>
      <c r="O24" s="211">
        <v>0.09</v>
      </c>
      <c r="P24" s="212">
        <v>0</v>
      </c>
      <c r="Q24" s="244">
        <v>0.023</v>
      </c>
      <c r="R24" s="192">
        <f>L24*K32+M24*L32+(G24+F32)*G32</f>
        <v>6000</v>
      </c>
      <c r="S24" s="230">
        <f>IF(G24&gt;M32,G24*G32-M32*G34,M32*G33)+L24*K32+M24*L32</f>
        <v>9000</v>
      </c>
      <c r="T24" s="231">
        <f>(N24*'倾向-优先级表'!K117+O24*'倾向-优先级表'!L117+Q24*'倾向-优先级表'!N117)*G24</f>
        <v>6173.76</v>
      </c>
      <c r="U24" s="232">
        <f t="shared" si="2"/>
        <v>-336444</v>
      </c>
      <c r="V24" s="233">
        <f>(K24-'倾向-优先级表'!E7)*S24</f>
        <v>-293.999999999912</v>
      </c>
      <c r="W24" s="98">
        <f t="shared" si="3"/>
        <v>-953820</v>
      </c>
      <c r="X24">
        <f>'倾向-优先级表'!E6</f>
        <v>158.97</v>
      </c>
    </row>
    <row r="25" ht="15.6" spans="1:24">
      <c r="A25">
        <f>数据表!H27</f>
        <v>26</v>
      </c>
      <c r="B25" t="s">
        <v>259</v>
      </c>
      <c r="C25">
        <f>数据表!I27</f>
        <v>23</v>
      </c>
      <c r="D25" t="s">
        <v>259</v>
      </c>
      <c r="F25" s="15" t="s">
        <v>260</v>
      </c>
      <c r="G25" s="16">
        <v>6</v>
      </c>
      <c r="H25" s="154">
        <f>COUNTIF(U26:U28,"&gt;"&amp;U25)+1+COUNTIF(U3:U24,"&gt;="&amp;U25)</f>
        <v>20</v>
      </c>
      <c r="I25" s="154">
        <f>COUNTIF(V26:V28,"&gt;"&amp;V25)+1+COUNTIF(V3:V24,"&gt;="&amp;V25)</f>
        <v>12</v>
      </c>
      <c r="J25" s="177">
        <f t="shared" si="4"/>
        <v>45.312</v>
      </c>
      <c r="K25" s="178">
        <f t="shared" si="1"/>
        <v>45.312</v>
      </c>
      <c r="L25" s="179">
        <v>0</v>
      </c>
      <c r="M25" s="180">
        <v>0</v>
      </c>
      <c r="N25" s="173">
        <v>0</v>
      </c>
      <c r="O25" s="174">
        <v>0</v>
      </c>
      <c r="P25" s="198">
        <v>0</v>
      </c>
      <c r="Q25" s="234">
        <v>0.012</v>
      </c>
      <c r="R25" s="179">
        <f>L25*K32+M25*L32+(G25+F32)*G32</f>
        <v>9000</v>
      </c>
      <c r="S25" s="235">
        <f>IF(G25&gt;M32,G25*G32-M32*G34,M32*G33)+L25*K32+M25*L32</f>
        <v>9000</v>
      </c>
      <c r="T25" s="236">
        <f>(N25*'倾向-优先级表'!K117+O25*'倾向-优先级表'!L117+Q25*'倾向-优先级表'!N117)*G25</f>
        <v>4078.08</v>
      </c>
      <c r="U25" s="237">
        <f t="shared" si="2"/>
        <v>-1022922</v>
      </c>
      <c r="V25" s="238">
        <f>(K25-'倾向-优先级表'!E7)*S25</f>
        <v>-209862</v>
      </c>
      <c r="W25" s="98">
        <f t="shared" si="3"/>
        <v>-1430730</v>
      </c>
      <c r="X25">
        <f>'倾向-优先级表'!E6</f>
        <v>158.97</v>
      </c>
    </row>
    <row r="26" ht="15.6" spans="1:24">
      <c r="A26">
        <f>数据表!H28</f>
        <v>17</v>
      </c>
      <c r="B26" t="s">
        <v>261</v>
      </c>
      <c r="C26">
        <f>数据表!I28</f>
        <v>21</v>
      </c>
      <c r="D26" t="s">
        <v>261</v>
      </c>
      <c r="F26" s="7" t="s">
        <v>260</v>
      </c>
      <c r="G26" s="8">
        <v>8</v>
      </c>
      <c r="H26" s="154">
        <f>COUNTIF(U27:U28,"&gt;"&amp;U26)+1+COUNTIF(U3:U25,"&gt;="&amp;U26)</f>
        <v>24</v>
      </c>
      <c r="I26" s="154">
        <f>COUNTIF(V27:V28,"&gt;"&amp;V26)+1+COUNTIF(V3:V25,"&gt;="&amp;V26)</f>
        <v>14</v>
      </c>
      <c r="J26" s="177">
        <f t="shared" si="4"/>
        <v>44.368</v>
      </c>
      <c r="K26" s="188">
        <f t="shared" si="1"/>
        <v>44.368</v>
      </c>
      <c r="L26" s="179">
        <v>0</v>
      </c>
      <c r="M26" s="180">
        <v>0</v>
      </c>
      <c r="N26" s="184">
        <v>0.07</v>
      </c>
      <c r="O26" s="185">
        <v>0.01</v>
      </c>
      <c r="P26" s="197">
        <v>0</v>
      </c>
      <c r="Q26" s="234">
        <v>0.011</v>
      </c>
      <c r="R26" s="179">
        <f>L26*K32+M26*L32+(G26+F32)*G32</f>
        <v>12000</v>
      </c>
      <c r="S26" s="235">
        <f>IF(G26&gt;M32,G26*G32-M32*G34,M32*G33)+L26*K32+M26*L32</f>
        <v>12000</v>
      </c>
      <c r="T26" s="236">
        <f>(N26*'倾向-优先级表'!K117+O26*'倾向-优先级表'!L117+Q26*'倾向-优先级表'!N117)*G26</f>
        <v>5324.16</v>
      </c>
      <c r="U26" s="237">
        <f t="shared" si="2"/>
        <v>-1375224</v>
      </c>
      <c r="V26" s="238">
        <f>(K26-'倾向-优先级表'!E7)*S26</f>
        <v>-291144</v>
      </c>
      <c r="W26" s="98">
        <f t="shared" si="3"/>
        <v>-1907640</v>
      </c>
      <c r="X26">
        <f>'倾向-优先级表'!E6</f>
        <v>158.97</v>
      </c>
    </row>
    <row r="27" ht="16.35" spans="6:24">
      <c r="F27" s="17" t="s">
        <v>260</v>
      </c>
      <c r="G27" s="18">
        <v>12</v>
      </c>
      <c r="H27" s="156">
        <f>COUNTIF(U28:U28,"&gt;"&amp;U27)+1+COUNTIF(U3:U26,"&gt;="&amp;U27)</f>
        <v>26</v>
      </c>
      <c r="I27" s="156">
        <f>COUNTIF(V28:V28,"&gt;"&amp;V27)+1+COUNTIF(V3:V26,"&gt;="&amp;V27)</f>
        <v>23</v>
      </c>
      <c r="J27" s="199">
        <f t="shared" si="4"/>
        <v>37.4453333333333</v>
      </c>
      <c r="K27" s="213">
        <f t="shared" si="1"/>
        <v>37.4453333333333</v>
      </c>
      <c r="L27" s="189">
        <v>0</v>
      </c>
      <c r="M27" s="190">
        <v>0</v>
      </c>
      <c r="N27" s="207">
        <v>0.07</v>
      </c>
      <c r="O27" s="208">
        <v>0.02</v>
      </c>
      <c r="P27" s="209">
        <v>0</v>
      </c>
      <c r="Q27" s="239">
        <v>0.009</v>
      </c>
      <c r="R27" s="189">
        <f>L27*K32+M262*L32+(G27+F32)*G32</f>
        <v>18000</v>
      </c>
      <c r="S27" s="240">
        <f>IF(G27&gt;M32,G27*G32-M32*G34,M32*G33)+L27*K32+M27*L32</f>
        <v>18000</v>
      </c>
      <c r="T27" s="241">
        <f>(N27*'倾向-优先级表'!K117+O27*'倾向-优先级表'!L117+Q27*'倾向-优先级表'!N117)*G27</f>
        <v>6740.16</v>
      </c>
      <c r="U27" s="245">
        <f t="shared" si="2"/>
        <v>-2187444</v>
      </c>
      <c r="V27" s="246">
        <f>(K27-'倾向-优先级表'!E7)*S27</f>
        <v>-561324</v>
      </c>
      <c r="W27" s="98">
        <f t="shared" si="3"/>
        <v>-2861460</v>
      </c>
      <c r="X27">
        <f>'倾向-优先级表'!E6</f>
        <v>158.97</v>
      </c>
    </row>
    <row r="28" ht="16.35" spans="6:24">
      <c r="F28" s="28" t="s">
        <v>262</v>
      </c>
      <c r="G28" s="29">
        <v>3</v>
      </c>
      <c r="H28" s="157">
        <f>1+COUNTIF(U3:U27,"&gt;="&amp;U28)</f>
        <v>17</v>
      </c>
      <c r="I28" s="157">
        <f>1+COUNTIF(V3:V27,"&gt;="&amp;V28)</f>
        <v>21</v>
      </c>
      <c r="J28" s="214">
        <f t="shared" si="4"/>
        <v>41.536</v>
      </c>
      <c r="K28" s="215">
        <f t="shared" si="1"/>
        <v>20.768</v>
      </c>
      <c r="L28" s="216">
        <v>0</v>
      </c>
      <c r="M28" s="217">
        <v>0</v>
      </c>
      <c r="N28" s="207">
        <v>0</v>
      </c>
      <c r="O28" s="208">
        <v>0</v>
      </c>
      <c r="P28" s="209"/>
      <c r="Q28" s="250">
        <v>0.011</v>
      </c>
      <c r="R28" s="216">
        <f>L28*K32+M28*L32+(G28+F32)*G32</f>
        <v>4500</v>
      </c>
      <c r="S28" s="251">
        <f>IF(G28&gt;M32,G28*G32-M32*G34,M32*G33)+L28*K32+M28*L32</f>
        <v>9000</v>
      </c>
      <c r="T28" s="252">
        <f>(N28*'倾向-优先级表'!K117+O28*'倾向-优先级表'!L117+Q28*'倾向-优先级表'!N117)*G28</f>
        <v>1869.12</v>
      </c>
      <c r="U28" s="253">
        <f t="shared" si="2"/>
        <v>-528453</v>
      </c>
      <c r="V28" s="254">
        <f>(K28-'倾向-优先级表'!E7)*S28</f>
        <v>-430758</v>
      </c>
      <c r="W28" s="101">
        <f t="shared" si="3"/>
        <v>-715365</v>
      </c>
      <c r="X28">
        <f>'倾向-优先级表'!E6</f>
        <v>158.97</v>
      </c>
    </row>
    <row r="30" spans="17:20">
      <c r="Q30">
        <f>H3</f>
        <v>16</v>
      </c>
      <c r="R30">
        <f>IF(U3&gt;0,999,0)</f>
        <v>0</v>
      </c>
      <c r="S30">
        <f>I3</f>
        <v>24</v>
      </c>
      <c r="T30">
        <f>IF(V3&gt;0,999,0)</f>
        <v>0</v>
      </c>
    </row>
    <row r="31" spans="17:20">
      <c r="Q31">
        <f t="shared" ref="Q31:Q55" si="5">H4</f>
        <v>23</v>
      </c>
      <c r="R31">
        <f t="shared" ref="R31:R55" si="6">IF(U4&gt;0,999,0)</f>
        <v>0</v>
      </c>
      <c r="S31">
        <f t="shared" ref="S31:S55" si="7">I4</f>
        <v>25</v>
      </c>
      <c r="T31">
        <f t="shared" ref="T31:T55" si="8">IF(V4&gt;0,999,0)</f>
        <v>0</v>
      </c>
    </row>
    <row r="32" spans="6:20">
      <c r="F32">
        <f>'倾向-优先级表'!E12/60</f>
        <v>0</v>
      </c>
      <c r="G32">
        <f>'倾向-优先级表'!G115</f>
        <v>1500</v>
      </c>
      <c r="H32">
        <f>'倾向-优先级表'!K117</f>
        <v>472</v>
      </c>
      <c r="I32">
        <f>'倾向-优先级表'!L117</f>
        <v>944</v>
      </c>
      <c r="J32">
        <f>'倾向-优先级表'!N117</f>
        <v>56640</v>
      </c>
      <c r="K32">
        <f>'倾向-优先级表'!J117</f>
        <v>0</v>
      </c>
      <c r="L32">
        <f>'倾向-优先级表'!I117</f>
        <v>1000</v>
      </c>
      <c r="M32">
        <f>24-'倾向-优先级表'!J13</f>
        <v>6</v>
      </c>
      <c r="Q32">
        <f t="shared" si="5"/>
        <v>25</v>
      </c>
      <c r="R32">
        <f t="shared" si="6"/>
        <v>0</v>
      </c>
      <c r="S32">
        <f t="shared" si="7"/>
        <v>26</v>
      </c>
      <c r="T32">
        <f t="shared" si="8"/>
        <v>0</v>
      </c>
    </row>
    <row r="33" spans="7:20">
      <c r="G33">
        <f>'倾向-优先级表'!H115</f>
        <v>1500</v>
      </c>
      <c r="Q33">
        <f t="shared" si="5"/>
        <v>11</v>
      </c>
      <c r="R33">
        <f t="shared" si="6"/>
        <v>0</v>
      </c>
      <c r="S33">
        <f t="shared" si="7"/>
        <v>22</v>
      </c>
      <c r="T33">
        <f t="shared" si="8"/>
        <v>0</v>
      </c>
    </row>
    <row r="34" spans="7:20">
      <c r="G34">
        <f>G32-G33</f>
        <v>0</v>
      </c>
      <c r="Q34">
        <f t="shared" si="5"/>
        <v>5</v>
      </c>
      <c r="R34">
        <f t="shared" si="6"/>
        <v>999</v>
      </c>
      <c r="S34">
        <f t="shared" si="7"/>
        <v>16</v>
      </c>
      <c r="T34">
        <f t="shared" si="8"/>
        <v>0</v>
      </c>
    </row>
    <row r="35" spans="17:20">
      <c r="Q35">
        <f t="shared" si="5"/>
        <v>6</v>
      </c>
      <c r="R35">
        <f t="shared" si="6"/>
        <v>999</v>
      </c>
      <c r="S35">
        <f t="shared" si="7"/>
        <v>9</v>
      </c>
      <c r="T35">
        <f t="shared" si="8"/>
        <v>0</v>
      </c>
    </row>
    <row r="36" spans="17:20">
      <c r="Q36">
        <f t="shared" si="5"/>
        <v>4</v>
      </c>
      <c r="R36">
        <f t="shared" si="6"/>
        <v>999</v>
      </c>
      <c r="S36">
        <f t="shared" si="7"/>
        <v>2</v>
      </c>
      <c r="T36">
        <f t="shared" si="8"/>
        <v>999</v>
      </c>
    </row>
    <row r="37" spans="6:20">
      <c r="F37">
        <f>'倾向-优先级表'!R18</f>
        <v>0.402694395184916</v>
      </c>
      <c r="J37" t="s">
        <v>263</v>
      </c>
      <c r="K37">
        <f ca="1">(当前时间项目推荐!B11-ROUNDDOWN(当前时间项目推荐!B11,0))*24</f>
        <v>9.86416666663717</v>
      </c>
      <c r="M37" t="s">
        <v>264</v>
      </c>
      <c r="N37">
        <f>'倾向-优先级表'!J13</f>
        <v>18</v>
      </c>
      <c r="Q37">
        <f t="shared" si="5"/>
        <v>1</v>
      </c>
      <c r="R37">
        <f t="shared" si="6"/>
        <v>999</v>
      </c>
      <c r="S37">
        <f t="shared" si="7"/>
        <v>1</v>
      </c>
      <c r="T37">
        <f t="shared" si="8"/>
        <v>999</v>
      </c>
    </row>
    <row r="38" spans="3:20">
      <c r="C38">
        <f>IF(F37&lt;0.1,1,0)</f>
        <v>0</v>
      </c>
      <c r="D38" t="s">
        <v>265</v>
      </c>
      <c r="J38" t="s">
        <v>266</v>
      </c>
      <c r="K38">
        <f>(当前时间项目推荐!C16-ROUNDDOWN(当前时间项目推荐!C16,0))*24</f>
        <v>23.8333333333333</v>
      </c>
      <c r="N38">
        <f ca="1">IF((K38-K37)&lt;0,K38+24,K38)-K37</f>
        <v>13.9691666666961</v>
      </c>
      <c r="Q38">
        <f t="shared" si="5"/>
        <v>13</v>
      </c>
      <c r="R38">
        <f t="shared" si="6"/>
        <v>0</v>
      </c>
      <c r="S38">
        <f t="shared" si="7"/>
        <v>15</v>
      </c>
      <c r="T38">
        <f t="shared" si="8"/>
        <v>0</v>
      </c>
    </row>
    <row r="39" spans="3:20">
      <c r="C39">
        <f>IF((F37&gt;=0.1)*(F37&lt;0.17),1,0)</f>
        <v>0</v>
      </c>
      <c r="D39" t="s">
        <v>267</v>
      </c>
      <c r="J39" t="s">
        <v>268</v>
      </c>
      <c r="K39">
        <f ca="1">IF(N38&gt;N37,0,N38)</f>
        <v>13.9691666666961</v>
      </c>
      <c r="Q39">
        <f t="shared" si="5"/>
        <v>19</v>
      </c>
      <c r="R39">
        <f t="shared" si="6"/>
        <v>0</v>
      </c>
      <c r="S39">
        <f t="shared" si="7"/>
        <v>11</v>
      </c>
      <c r="T39">
        <f t="shared" si="8"/>
        <v>0</v>
      </c>
    </row>
    <row r="40" spans="3:20">
      <c r="C40">
        <f>IF((F37&gt;=0.17)*(F37&lt;0.24),1,0)</f>
        <v>0</v>
      </c>
      <c r="D40" t="s">
        <v>269</v>
      </c>
      <c r="Q40">
        <f t="shared" si="5"/>
        <v>22</v>
      </c>
      <c r="R40">
        <f t="shared" si="6"/>
        <v>0</v>
      </c>
      <c r="S40">
        <f t="shared" si="7"/>
        <v>8</v>
      </c>
      <c r="T40">
        <f t="shared" si="8"/>
        <v>0</v>
      </c>
    </row>
    <row r="41" spans="3:20">
      <c r="C41">
        <f>IF((F37&gt;=0.24)*(F37&lt;0.33),1,0)</f>
        <v>0</v>
      </c>
      <c r="D41" t="s">
        <v>270</v>
      </c>
      <c r="Q41">
        <f t="shared" si="5"/>
        <v>3</v>
      </c>
      <c r="R41">
        <f t="shared" si="6"/>
        <v>999</v>
      </c>
      <c r="S41">
        <f t="shared" si="7"/>
        <v>4</v>
      </c>
      <c r="T41">
        <f t="shared" si="8"/>
        <v>999</v>
      </c>
    </row>
    <row r="42" spans="3:20">
      <c r="C42">
        <f>IF((F37&gt;=0.33)*(F37&lt;0.38),1,0)</f>
        <v>0</v>
      </c>
      <c r="D42" t="s">
        <v>271</v>
      </c>
      <c r="Q42">
        <f t="shared" si="5"/>
        <v>10</v>
      </c>
      <c r="R42">
        <f t="shared" si="6"/>
        <v>0</v>
      </c>
      <c r="S42">
        <f t="shared" si="7"/>
        <v>13</v>
      </c>
      <c r="T42">
        <f t="shared" si="8"/>
        <v>0</v>
      </c>
    </row>
    <row r="43" spans="3:20">
      <c r="C43">
        <f>IF((F37&gt;=0.38)*(F37&lt;0.44),1,0)</f>
        <v>1</v>
      </c>
      <c r="D43" t="s">
        <v>272</v>
      </c>
      <c r="M43" t="s">
        <v>273</v>
      </c>
      <c r="N43" t="s">
        <v>274</v>
      </c>
      <c r="Q43">
        <f t="shared" si="5"/>
        <v>18</v>
      </c>
      <c r="R43">
        <f t="shared" si="6"/>
        <v>0</v>
      </c>
      <c r="S43">
        <f t="shared" si="7"/>
        <v>10</v>
      </c>
      <c r="T43">
        <f t="shared" si="8"/>
        <v>0</v>
      </c>
    </row>
    <row r="44" spans="3:20">
      <c r="C44">
        <f>IF((F37&gt;=0.44),1,0)</f>
        <v>0</v>
      </c>
      <c r="D44" t="s">
        <v>275</v>
      </c>
      <c r="L44" t="s">
        <v>276</v>
      </c>
      <c r="M44">
        <f>白天模拟!T60+夜晚模拟!T60</f>
        <v>2.68956943476748</v>
      </c>
      <c r="N44">
        <f>白天模拟!S60+夜晚模拟!S60</f>
        <v>6.65909124068623</v>
      </c>
      <c r="Q44">
        <f t="shared" si="5"/>
        <v>21</v>
      </c>
      <c r="R44">
        <f t="shared" si="6"/>
        <v>0</v>
      </c>
      <c r="S44">
        <f t="shared" si="7"/>
        <v>6</v>
      </c>
      <c r="T44">
        <f t="shared" si="8"/>
        <v>999</v>
      </c>
    </row>
    <row r="45" spans="13:20">
      <c r="M45">
        <f>M44*5/N44</f>
        <v>2.01947182998075</v>
      </c>
      <c r="Q45">
        <f t="shared" si="5"/>
        <v>2</v>
      </c>
      <c r="R45">
        <f t="shared" si="6"/>
        <v>999</v>
      </c>
      <c r="S45">
        <f t="shared" si="7"/>
        <v>3</v>
      </c>
      <c r="T45">
        <f t="shared" si="8"/>
        <v>999</v>
      </c>
    </row>
    <row r="46" spans="2:20">
      <c r="B46" s="158">
        <v>44385.5833333333</v>
      </c>
      <c r="D46" t="s">
        <v>277</v>
      </c>
      <c r="F46">
        <f ca="1">B47-B48</f>
        <v>24.1723263888562</v>
      </c>
      <c r="L46" t="s">
        <v>278</v>
      </c>
      <c r="M46">
        <f>1/M45</f>
        <v>0.495178979550079</v>
      </c>
      <c r="Q46">
        <f t="shared" si="5"/>
        <v>7</v>
      </c>
      <c r="R46">
        <f t="shared" si="6"/>
        <v>0</v>
      </c>
      <c r="S46">
        <f t="shared" si="7"/>
        <v>20</v>
      </c>
      <c r="T46">
        <f t="shared" si="8"/>
        <v>0</v>
      </c>
    </row>
    <row r="47" spans="2:20">
      <c r="B47" s="158">
        <v>44750.5833333333</v>
      </c>
      <c r="D47" t="s">
        <v>85</v>
      </c>
      <c r="F47">
        <f>365</f>
        <v>365</v>
      </c>
      <c r="Q47">
        <f t="shared" si="5"/>
        <v>14</v>
      </c>
      <c r="R47">
        <f t="shared" si="6"/>
        <v>0</v>
      </c>
      <c r="S47">
        <f t="shared" si="7"/>
        <v>17</v>
      </c>
      <c r="T47">
        <f t="shared" si="8"/>
        <v>0</v>
      </c>
    </row>
    <row r="48" spans="2:20">
      <c r="B48" s="158">
        <f ca="1">NOW()</f>
        <v>44726.4110069444</v>
      </c>
      <c r="Q48">
        <f t="shared" si="5"/>
        <v>8</v>
      </c>
      <c r="R48">
        <f t="shared" si="6"/>
        <v>0</v>
      </c>
      <c r="S48">
        <f t="shared" si="7"/>
        <v>5</v>
      </c>
      <c r="T48">
        <f t="shared" si="8"/>
        <v>999</v>
      </c>
    </row>
    <row r="49" spans="2:20">
      <c r="B49">
        <f ca="1">VLOOKUP('倾向-优先级表'!K15,D46:F47,3,0)</f>
        <v>365</v>
      </c>
      <c r="Q49">
        <f t="shared" si="5"/>
        <v>12</v>
      </c>
      <c r="R49">
        <f t="shared" si="6"/>
        <v>0</v>
      </c>
      <c r="S49">
        <f t="shared" si="7"/>
        <v>19</v>
      </c>
      <c r="T49">
        <f t="shared" si="8"/>
        <v>0</v>
      </c>
    </row>
    <row r="50" spans="17:20">
      <c r="Q50">
        <f t="shared" si="5"/>
        <v>9</v>
      </c>
      <c r="R50">
        <f t="shared" si="6"/>
        <v>0</v>
      </c>
      <c r="S50">
        <f t="shared" si="7"/>
        <v>18</v>
      </c>
      <c r="T50">
        <f t="shared" si="8"/>
        <v>0</v>
      </c>
    </row>
    <row r="51" spans="10:20">
      <c r="J51">
        <f>21*6</f>
        <v>126</v>
      </c>
      <c r="Q51">
        <f t="shared" si="5"/>
        <v>15</v>
      </c>
      <c r="R51">
        <f t="shared" si="6"/>
        <v>0</v>
      </c>
      <c r="S51">
        <f t="shared" si="7"/>
        <v>7</v>
      </c>
      <c r="T51">
        <f t="shared" si="8"/>
        <v>0</v>
      </c>
    </row>
    <row r="52" spans="3:20">
      <c r="C52" t="s">
        <v>279</v>
      </c>
      <c r="D52">
        <f ca="1">当前时间项目推荐!B11-B53</f>
        <v>340.827673611144</v>
      </c>
      <c r="Q52">
        <f t="shared" si="5"/>
        <v>20</v>
      </c>
      <c r="R52">
        <f t="shared" si="6"/>
        <v>0</v>
      </c>
      <c r="S52">
        <f t="shared" si="7"/>
        <v>12</v>
      </c>
      <c r="T52">
        <f t="shared" si="8"/>
        <v>0</v>
      </c>
    </row>
    <row r="53" spans="2:20">
      <c r="B53" s="158">
        <v>44385.5833333333</v>
      </c>
      <c r="Q53">
        <f t="shared" si="5"/>
        <v>24</v>
      </c>
      <c r="R53">
        <f t="shared" si="6"/>
        <v>0</v>
      </c>
      <c r="S53">
        <f t="shared" si="7"/>
        <v>14</v>
      </c>
      <c r="T53">
        <f t="shared" si="8"/>
        <v>0</v>
      </c>
    </row>
    <row r="54" spans="2:20">
      <c r="B54" s="159"/>
      <c r="D54">
        <f>8/('倾向-优先级表'!E15/('倾向-优先级表'!E16-1))</f>
        <v>4.42864336145706</v>
      </c>
      <c r="Q54">
        <f t="shared" si="5"/>
        <v>26</v>
      </c>
      <c r="R54">
        <f t="shared" si="6"/>
        <v>0</v>
      </c>
      <c r="S54">
        <f t="shared" si="7"/>
        <v>23</v>
      </c>
      <c r="T54">
        <f t="shared" si="8"/>
        <v>0</v>
      </c>
    </row>
    <row r="55" spans="2:20">
      <c r="B55" s="159"/>
      <c r="D55">
        <f ca="1">D52/7*7</f>
        <v>340.827673611144</v>
      </c>
      <c r="Q55">
        <f t="shared" si="5"/>
        <v>17</v>
      </c>
      <c r="R55">
        <f t="shared" si="6"/>
        <v>0</v>
      </c>
      <c r="S55">
        <f t="shared" si="7"/>
        <v>21</v>
      </c>
      <c r="T55">
        <f t="shared" si="8"/>
        <v>0</v>
      </c>
    </row>
    <row r="56" spans="2:4">
      <c r="B56" s="159"/>
      <c r="D56">
        <f ca="1">D55/D54</f>
        <v>76.9598375379246</v>
      </c>
    </row>
    <row r="58" spans="18:27">
      <c r="R58" t="s">
        <v>280</v>
      </c>
      <c r="S58" t="s">
        <v>281</v>
      </c>
      <c r="T58" t="s">
        <v>282</v>
      </c>
      <c r="U58" t="s">
        <v>283</v>
      </c>
      <c r="W58" t="s">
        <v>284</v>
      </c>
      <c r="Y58" t="s">
        <v>282</v>
      </c>
      <c r="AA58" t="s">
        <v>194</v>
      </c>
    </row>
    <row r="59" spans="12:28">
      <c r="L59" t="s">
        <v>195</v>
      </c>
      <c r="M59">
        <f>'倾向-优先级表'!I15/'倾向-优先级表'!E16</f>
        <v>0.07679911190522</v>
      </c>
      <c r="R59">
        <f>Q3*G3</f>
        <v>0</v>
      </c>
      <c r="S59">
        <f>1-R59</f>
        <v>1</v>
      </c>
      <c r="T59">
        <f>R59*S59</f>
        <v>0</v>
      </c>
      <c r="U59">
        <f>(白天模拟!I33*V59+夜晚模拟!I33)/(V59*100)</f>
        <v>9.01886888506034e-5</v>
      </c>
      <c r="V59">
        <f>白天模拟!O60</f>
        <v>9.96444756327839</v>
      </c>
      <c r="W59">
        <f>U85</f>
        <v>0.0110035511359786</v>
      </c>
      <c r="X59">
        <f>U59/W59</f>
        <v>0.00819632568941413</v>
      </c>
      <c r="Y59">
        <f>X59*(1-X59)</f>
        <v>0.00812914593460718</v>
      </c>
      <c r="Z59">
        <f>Y59+T59</f>
        <v>0.00812914593460718</v>
      </c>
      <c r="AA59">
        <f ca="1">M60</f>
        <v>3660.02731788563</v>
      </c>
      <c r="AB59">
        <f ca="1">AA59*X59*Z59</f>
        <v>0.24386442739084</v>
      </c>
    </row>
    <row r="60" spans="4:28">
      <c r="D60">
        <v>0</v>
      </c>
      <c r="L60" t="s">
        <v>194</v>
      </c>
      <c r="M60">
        <f ca="1">D52*'倾向-优先级表'!E16-D56</f>
        <v>3660.02731788563</v>
      </c>
      <c r="R60">
        <f t="shared" ref="R60:R84" si="9">Q4*G4</f>
        <v>0</v>
      </c>
      <c r="S60">
        <f t="shared" ref="S60:S84" si="10">1-R60</f>
        <v>1</v>
      </c>
      <c r="T60">
        <f t="shared" ref="T60:T84" si="11">R60*S60</f>
        <v>0</v>
      </c>
      <c r="U60">
        <f>(白天模拟!I34*V60+夜晚模拟!I34)/(V60*100)</f>
        <v>3.70684309235508e-6</v>
      </c>
      <c r="V60">
        <f>V59</f>
        <v>9.96444756327839</v>
      </c>
      <c r="W60">
        <f>W59</f>
        <v>0.0110035511359786</v>
      </c>
      <c r="X60">
        <f t="shared" ref="X60:X84" si="12">U60/W60</f>
        <v>0.000336876981489613</v>
      </c>
      <c r="Y60">
        <f t="shared" ref="Y60:Y84" si="13">X60*(1-X60)</f>
        <v>0.000336763495388956</v>
      </c>
      <c r="Z60">
        <f t="shared" ref="Z60:Z84" si="14">Y60+T60</f>
        <v>0.000336763495388956</v>
      </c>
      <c r="AA60">
        <f ca="1">AA59</f>
        <v>3660.02731788563</v>
      </c>
      <c r="AB60">
        <f ca="1" t="shared" ref="AB60:AB84" si="15">AA60*X60*Z60</f>
        <v>0.000415222302633165</v>
      </c>
    </row>
    <row r="61" spans="2:28">
      <c r="B61">
        <v>1</v>
      </c>
      <c r="C61">
        <f>B61/100</f>
        <v>0.01</v>
      </c>
      <c r="D61">
        <f>(1/(2*PI())^0.5)*EXP(-((3-3*C61)^2))+D60</f>
        <v>5.88900428603413e-5</v>
      </c>
      <c r="E61">
        <f>D61/23.5697038852067</f>
        <v>2.49854826972617e-6</v>
      </c>
      <c r="G61">
        <f ca="1">N66-M66</f>
        <v>153.195248181295</v>
      </c>
      <c r="L61" t="s">
        <v>285</v>
      </c>
      <c r="M61">
        <f ca="1">AB85</f>
        <v>651.910668481349</v>
      </c>
      <c r="R61">
        <f t="shared" si="9"/>
        <v>0</v>
      </c>
      <c r="S61">
        <f t="shared" si="10"/>
        <v>1</v>
      </c>
      <c r="T61">
        <f t="shared" si="11"/>
        <v>0</v>
      </c>
      <c r="U61">
        <f>(白天模拟!I35*V61+夜晚模拟!I35)/(V61*100)</f>
        <v>8.7032333845763e-8</v>
      </c>
      <c r="V61">
        <f t="shared" ref="V61:V84" si="16">V60</f>
        <v>9.96444756327839</v>
      </c>
      <c r="W61">
        <f t="shared" ref="W61:W84" si="17">W60</f>
        <v>0.0110035511359786</v>
      </c>
      <c r="X61">
        <f t="shared" si="12"/>
        <v>7.90947692887899e-6</v>
      </c>
      <c r="Y61">
        <f t="shared" si="13"/>
        <v>7.9094143690537e-6</v>
      </c>
      <c r="Z61">
        <f t="shared" si="14"/>
        <v>7.9094143690537e-6</v>
      </c>
      <c r="AA61">
        <f ca="1" t="shared" ref="AA61:AA84" si="18">AA60</f>
        <v>3660.02731788563</v>
      </c>
      <c r="AB61">
        <f ca="1" t="shared" si="15"/>
        <v>2.2896885851972e-7</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197</v>
      </c>
      <c r="M62">
        <f ca="1">M59*M60</f>
        <v>281.08684756246</v>
      </c>
      <c r="R62">
        <f t="shared" si="9"/>
        <v>0</v>
      </c>
      <c r="S62">
        <f t="shared" si="10"/>
        <v>1</v>
      </c>
      <c r="T62">
        <f t="shared" si="11"/>
        <v>0</v>
      </c>
      <c r="U62">
        <f>(白天模拟!I36*V62+夜晚模拟!I36)/(V62*100)</f>
        <v>1.35367298605879e-5</v>
      </c>
      <c r="V62">
        <f t="shared" si="16"/>
        <v>9.96444756327839</v>
      </c>
      <c r="W62">
        <f t="shared" si="17"/>
        <v>0.0110035511359786</v>
      </c>
      <c r="X62">
        <f t="shared" si="12"/>
        <v>0.0012302146546424</v>
      </c>
      <c r="Y62">
        <f t="shared" si="13"/>
        <v>0.00122870122654591</v>
      </c>
      <c r="Z62">
        <f t="shared" si="14"/>
        <v>0.00122870122654591</v>
      </c>
      <c r="AA62">
        <f ca="1" t="shared" si="18"/>
        <v>3660.02731788563</v>
      </c>
      <c r="AB62">
        <f ca="1" t="shared" si="15"/>
        <v>0.00553237378636444</v>
      </c>
    </row>
    <row r="63" spans="2:28">
      <c r="B63">
        <v>3</v>
      </c>
      <c r="C63">
        <f t="shared" si="19"/>
        <v>0.03</v>
      </c>
      <c r="D63">
        <f t="shared" si="20"/>
        <v>0.00021300738986455</v>
      </c>
      <c r="E63">
        <f t="shared" si="21"/>
        <v>9.03733839432076e-6</v>
      </c>
      <c r="G63" t="e">
        <f ca="1">G62/G61</f>
        <v>#REF!</v>
      </c>
      <c r="L63" t="s">
        <v>198</v>
      </c>
      <c r="M63">
        <f ca="1">M61^0.5</f>
        <v>25.5325413635492</v>
      </c>
      <c r="R63">
        <f t="shared" si="9"/>
        <v>0.052</v>
      </c>
      <c r="S63">
        <f t="shared" si="10"/>
        <v>0.948</v>
      </c>
      <c r="T63">
        <f t="shared" si="11"/>
        <v>0.049296</v>
      </c>
      <c r="U63">
        <f>(白天模拟!I37*V63+夜晚模拟!I37)/(V63*100)</f>
        <v>0.00273195518001058</v>
      </c>
      <c r="V63">
        <f t="shared" si="16"/>
        <v>9.96444756327839</v>
      </c>
      <c r="W63">
        <f t="shared" si="17"/>
        <v>0.0110035511359786</v>
      </c>
      <c r="X63">
        <f t="shared" si="12"/>
        <v>0.248279409642387</v>
      </c>
      <c r="Y63">
        <f t="shared" si="13"/>
        <v>0.186636744390015</v>
      </c>
      <c r="Z63">
        <f t="shared" si="14"/>
        <v>0.235932744390015</v>
      </c>
      <c r="AA63">
        <f ca="1" t="shared" si="18"/>
        <v>3660.02731788563</v>
      </c>
      <c r="AB63">
        <f ca="1" t="shared" si="15"/>
        <v>214.394307728818</v>
      </c>
    </row>
    <row r="64" spans="2:28">
      <c r="B64">
        <v>4</v>
      </c>
      <c r="C64">
        <f t="shared" si="19"/>
        <v>0.04</v>
      </c>
      <c r="D64">
        <f t="shared" si="20"/>
        <v>0.000312708022741402</v>
      </c>
      <c r="E64">
        <f t="shared" si="21"/>
        <v>1.3267371718559e-5</v>
      </c>
      <c r="G64" t="e">
        <f ca="1">G63*200</f>
        <v>#REF!</v>
      </c>
      <c r="L64" t="s">
        <v>286</v>
      </c>
      <c r="M64">
        <f ca="1">3*M63/M62</f>
        <v>0.272505187471024</v>
      </c>
      <c r="R64">
        <f t="shared" si="9"/>
        <v>0.094</v>
      </c>
      <c r="S64">
        <f t="shared" si="10"/>
        <v>0.906</v>
      </c>
      <c r="T64">
        <f t="shared" si="11"/>
        <v>0.085164</v>
      </c>
      <c r="U64">
        <f>(白天模拟!I38*V64+夜晚模拟!I38)/(V64*100)</f>
        <v>0.00124323255253594</v>
      </c>
      <c r="V64">
        <f t="shared" si="16"/>
        <v>9.96444756327839</v>
      </c>
      <c r="W64">
        <f t="shared" si="17"/>
        <v>0.0110035511359786</v>
      </c>
      <c r="X64">
        <f t="shared" si="12"/>
        <v>0.112984666238421</v>
      </c>
      <c r="Y64">
        <f t="shared" si="13"/>
        <v>0.100219131433414</v>
      </c>
      <c r="Z64">
        <f t="shared" si="14"/>
        <v>0.185383131433414</v>
      </c>
      <c r="AA64">
        <f ca="1" t="shared" si="18"/>
        <v>3660.02731788563</v>
      </c>
      <c r="AB64">
        <f ca="1" t="shared" si="15"/>
        <v>76.6609236917708</v>
      </c>
    </row>
    <row r="65" spans="2:28">
      <c r="B65">
        <v>5</v>
      </c>
      <c r="C65">
        <f t="shared" si="19"/>
        <v>0.05</v>
      </c>
      <c r="D65">
        <f t="shared" si="20"/>
        <v>0.000431108413735515</v>
      </c>
      <c r="E65">
        <f t="shared" si="21"/>
        <v>1.82907861649504e-5</v>
      </c>
      <c r="G65" t="e">
        <f ca="1">ROUND(G64,0)/100</f>
        <v>#REF!</v>
      </c>
      <c r="M65" t="s">
        <v>287</v>
      </c>
      <c r="N65" t="s">
        <v>288</v>
      </c>
      <c r="R65">
        <f t="shared" si="9"/>
        <v>0.204</v>
      </c>
      <c r="S65">
        <f t="shared" si="10"/>
        <v>0.796</v>
      </c>
      <c r="T65">
        <f t="shared" si="11"/>
        <v>0.162384</v>
      </c>
      <c r="U65">
        <f>(白天模拟!I39*V65+夜晚模拟!I39)/(V65*100)</f>
        <v>0.000954954453383802</v>
      </c>
      <c r="V65">
        <f t="shared" si="16"/>
        <v>9.96444756327839</v>
      </c>
      <c r="W65">
        <f t="shared" si="17"/>
        <v>0.0110035511359786</v>
      </c>
      <c r="X65">
        <f t="shared" si="12"/>
        <v>0.0867860240374003</v>
      </c>
      <c r="Y65">
        <f t="shared" si="13"/>
        <v>0.0792542100691801</v>
      </c>
      <c r="Z65">
        <f t="shared" si="14"/>
        <v>0.24163821006918</v>
      </c>
      <c r="AA65">
        <f ca="1" t="shared" si="18"/>
        <v>3660.02731788563</v>
      </c>
      <c r="AB65">
        <f ca="1" t="shared" si="15"/>
        <v>76.7537722755996</v>
      </c>
    </row>
    <row r="66" spans="2:28">
      <c r="B66">
        <v>6</v>
      </c>
      <c r="C66">
        <f t="shared" si="19"/>
        <v>0.06</v>
      </c>
      <c r="D66">
        <f t="shared" si="20"/>
        <v>0.000571463006336577</v>
      </c>
      <c r="E66">
        <f t="shared" si="21"/>
        <v>2.42456591359746e-5</v>
      </c>
      <c r="G66" t="e">
        <f ca="1">VLOOKUP(G65,C61:E260,3,0)</f>
        <v>#REF!</v>
      </c>
      <c r="L66" t="s">
        <v>289</v>
      </c>
      <c r="M66">
        <f ca="1">M62*(1-M64)</f>
        <v>204.489223471813</v>
      </c>
      <c r="N66">
        <f ca="1">M62*(1+M64)</f>
        <v>357.684471653108</v>
      </c>
      <c r="R66">
        <f t="shared" si="9"/>
        <v>0.408</v>
      </c>
      <c r="S66">
        <f t="shared" si="10"/>
        <v>0.592</v>
      </c>
      <c r="T66">
        <f t="shared" si="11"/>
        <v>0.241536</v>
      </c>
      <c r="U66">
        <f>(白天模拟!I40*V66+夜晚模拟!I40)/(V66*100)</f>
        <v>0.000514393408544164</v>
      </c>
      <c r="V66">
        <f t="shared" si="16"/>
        <v>9.96444756327839</v>
      </c>
      <c r="W66">
        <f t="shared" si="17"/>
        <v>0.0110035511359786</v>
      </c>
      <c r="X66">
        <f t="shared" si="12"/>
        <v>0.0467479454757327</v>
      </c>
      <c r="Y66">
        <f t="shared" si="13"/>
        <v>0.0445625750695306</v>
      </c>
      <c r="Z66">
        <f t="shared" si="14"/>
        <v>0.286098575069531</v>
      </c>
      <c r="AA66">
        <f ca="1" t="shared" si="18"/>
        <v>3660.02731788563</v>
      </c>
      <c r="AB66">
        <f ca="1" t="shared" si="15"/>
        <v>48.9511107158328</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0.000704526289700339</v>
      </c>
      <c r="V67">
        <f t="shared" si="16"/>
        <v>9.96444756327839</v>
      </c>
      <c r="W67">
        <f t="shared" si="17"/>
        <v>0.0110035511359786</v>
      </c>
      <c r="X67">
        <f t="shared" si="12"/>
        <v>0.0640271745906401</v>
      </c>
      <c r="Y67">
        <f t="shared" si="13"/>
        <v>0.0599276955045798</v>
      </c>
      <c r="Z67">
        <f t="shared" si="14"/>
        <v>0.0937026955045798</v>
      </c>
      <c r="AA67">
        <f ca="1" t="shared" si="18"/>
        <v>3660.02731788563</v>
      </c>
      <c r="AB67">
        <f ca="1" t="shared" si="15"/>
        <v>21.9584028657179</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0.000123715784375151</v>
      </c>
      <c r="V68">
        <f t="shared" si="16"/>
        <v>9.96444756327839</v>
      </c>
      <c r="W68">
        <f t="shared" si="17"/>
        <v>0.0110035511359786</v>
      </c>
      <c r="X68">
        <f t="shared" si="12"/>
        <v>0.0112432598209713</v>
      </c>
      <c r="Y68">
        <f t="shared" si="13"/>
        <v>0.0111168489295694</v>
      </c>
      <c r="Z68">
        <f t="shared" si="14"/>
        <v>0.0586168489295694</v>
      </c>
      <c r="AA68">
        <f ca="1" t="shared" si="18"/>
        <v>3660.02731788563</v>
      </c>
      <c r="AB68">
        <f ca="1" t="shared" si="15"/>
        <v>2.41212073609173</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3.77264941806314e-5</v>
      </c>
      <c r="V69">
        <f t="shared" si="16"/>
        <v>9.96444756327839</v>
      </c>
      <c r="W69">
        <f t="shared" si="17"/>
        <v>0.0110035511359786</v>
      </c>
      <c r="X69">
        <f t="shared" si="12"/>
        <v>0.00342857444059819</v>
      </c>
      <c r="Y69">
        <f t="shared" si="13"/>
        <v>0.00341681931790346</v>
      </c>
      <c r="Z69">
        <f t="shared" si="14"/>
        <v>0.0836728193179035</v>
      </c>
      <c r="AA69">
        <f ca="1" t="shared" si="18"/>
        <v>3660.02731788563</v>
      </c>
      <c r="AB69">
        <f ca="1" t="shared" si="15"/>
        <v>1.0499831091651</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8.83693017010989e-5</v>
      </c>
      <c r="V70">
        <f t="shared" si="16"/>
        <v>9.96444756327839</v>
      </c>
      <c r="W70">
        <f t="shared" si="17"/>
        <v>0.0110035511359786</v>
      </c>
      <c r="X70">
        <f t="shared" si="12"/>
        <v>0.00803098023620352</v>
      </c>
      <c r="Y70">
        <f t="shared" si="13"/>
        <v>0.00796648359264923</v>
      </c>
      <c r="Z70">
        <f t="shared" si="14"/>
        <v>0.117341483592649</v>
      </c>
      <c r="AA70">
        <f ca="1" t="shared" si="18"/>
        <v>3660.02731788563</v>
      </c>
      <c r="AB70">
        <f ca="1" t="shared" si="15"/>
        <v>3.4490894598445</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0.000739803580625933</v>
      </c>
      <c r="V71">
        <f t="shared" si="16"/>
        <v>9.96444756327839</v>
      </c>
      <c r="W71">
        <f t="shared" si="17"/>
        <v>0.0110035511359786</v>
      </c>
      <c r="X71">
        <f t="shared" si="12"/>
        <v>0.0672331660464573</v>
      </c>
      <c r="Y71">
        <f t="shared" si="13"/>
        <v>0.0627128674298268</v>
      </c>
      <c r="Z71">
        <f t="shared" si="14"/>
        <v>0.0964878674298268</v>
      </c>
      <c r="AA71">
        <f ca="1" t="shared" si="18"/>
        <v>3660.02731788563</v>
      </c>
      <c r="AB71">
        <f ca="1" t="shared" si="15"/>
        <v>23.7432736294766</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9.76309090005752e-5</v>
      </c>
      <c r="V72">
        <f t="shared" si="16"/>
        <v>9.96444756327839</v>
      </c>
      <c r="W72">
        <f t="shared" si="17"/>
        <v>0.0110035511359786</v>
      </c>
      <c r="X72">
        <f t="shared" si="12"/>
        <v>0.00887267281208417</v>
      </c>
      <c r="Y72">
        <f t="shared" si="13"/>
        <v>0.00879394848925387</v>
      </c>
      <c r="Z72">
        <f t="shared" si="14"/>
        <v>0.0562939484892539</v>
      </c>
      <c r="AA72">
        <f ca="1" t="shared" si="18"/>
        <v>3660.02731788563</v>
      </c>
      <c r="AB72">
        <f ca="1" t="shared" si="15"/>
        <v>1.82810234233546</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2.67354919220264e-5</v>
      </c>
      <c r="V73">
        <f t="shared" si="16"/>
        <v>9.96444756327839</v>
      </c>
      <c r="W73">
        <f t="shared" si="17"/>
        <v>0.0110035511359786</v>
      </c>
      <c r="X73">
        <f t="shared" si="12"/>
        <v>0.00242971487946365</v>
      </c>
      <c r="Y73">
        <f t="shared" si="13"/>
        <v>0.00242381136506816</v>
      </c>
      <c r="Z73">
        <f t="shared" si="14"/>
        <v>0.0826798113650682</v>
      </c>
      <c r="AA73">
        <f ca="1" t="shared" si="18"/>
        <v>3660.02731788563</v>
      </c>
      <c r="AB73">
        <f ca="1" t="shared" si="15"/>
        <v>0.73525691437759</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5.91968165553688e-5</v>
      </c>
      <c r="V74">
        <f t="shared" si="16"/>
        <v>9.96444756327839</v>
      </c>
      <c r="W74">
        <f t="shared" si="17"/>
        <v>0.0110035511359786</v>
      </c>
      <c r="X74">
        <f t="shared" si="12"/>
        <v>0.00537979201658012</v>
      </c>
      <c r="Y74">
        <f t="shared" si="13"/>
        <v>0.00535084985443846</v>
      </c>
      <c r="Z74">
        <f t="shared" si="14"/>
        <v>0.114725849854438</v>
      </c>
      <c r="AA74">
        <f ca="1" t="shared" si="18"/>
        <v>3660.02731788563</v>
      </c>
      <c r="AB74">
        <f ca="1" t="shared" si="15"/>
        <v>2.25897329341282</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0.0019427731559408</v>
      </c>
      <c r="V75">
        <f t="shared" si="16"/>
        <v>9.96444756327839</v>
      </c>
      <c r="W75">
        <f t="shared" si="17"/>
        <v>0.0110035511359786</v>
      </c>
      <c r="X75">
        <f t="shared" si="12"/>
        <v>0.176558742894234</v>
      </c>
      <c r="Y75">
        <f t="shared" si="13"/>
        <v>0.145385753201842</v>
      </c>
      <c r="Z75">
        <f t="shared" si="14"/>
        <v>0.168809753201842</v>
      </c>
      <c r="AA75">
        <f ca="1" t="shared" si="18"/>
        <v>3660.02731788563</v>
      </c>
      <c r="AB75">
        <f ca="1" t="shared" si="15"/>
        <v>109.086520602938</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0.000101629639671215</v>
      </c>
      <c r="V76">
        <f t="shared" si="16"/>
        <v>9.96444756327839</v>
      </c>
      <c r="W76">
        <f t="shared" si="17"/>
        <v>0.0110035511359786</v>
      </c>
      <c r="X76">
        <f t="shared" si="12"/>
        <v>0.00923607646434373</v>
      </c>
      <c r="Y76">
        <f t="shared" si="13"/>
        <v>0.00915077135588853</v>
      </c>
      <c r="Z76">
        <f t="shared" si="14"/>
        <v>0.0429257713558885</v>
      </c>
      <c r="AA76">
        <f ca="1" t="shared" si="18"/>
        <v>3660.02731788563</v>
      </c>
      <c r="AB76">
        <f ca="1" t="shared" si="15"/>
        <v>1.45107531651898</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0.000961705479754136</v>
      </c>
      <c r="V77">
        <f t="shared" si="16"/>
        <v>9.96444756327839</v>
      </c>
      <c r="W77">
        <f t="shared" si="17"/>
        <v>0.0110035511359786</v>
      </c>
      <c r="X77">
        <f t="shared" si="12"/>
        <v>0.0873995556406896</v>
      </c>
      <c r="Y77">
        <f t="shared" si="13"/>
        <v>0.0797608733144996</v>
      </c>
      <c r="Z77">
        <f t="shared" si="14"/>
        <v>0.1729448733145</v>
      </c>
      <c r="AA77">
        <f ca="1" t="shared" si="18"/>
        <v>3660.02731788563</v>
      </c>
      <c r="AB77">
        <f ca="1" t="shared" si="15"/>
        <v>55.3224295037383</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0.000209736716386641</v>
      </c>
      <c r="V78">
        <f t="shared" si="16"/>
        <v>9.96444756327839</v>
      </c>
      <c r="W78">
        <f t="shared" si="17"/>
        <v>0.0110035511359786</v>
      </c>
      <c r="X78">
        <f t="shared" si="12"/>
        <v>0.0190608208018282</v>
      </c>
      <c r="Y78">
        <f t="shared" si="13"/>
        <v>0.0186975059121888</v>
      </c>
      <c r="Z78">
        <f t="shared" si="14"/>
        <v>0.0534015059121888</v>
      </c>
      <c r="AA78">
        <f ca="1" t="shared" si="18"/>
        <v>3660.02731788563</v>
      </c>
      <c r="AB78">
        <f ca="1" t="shared" si="15"/>
        <v>3.72545592338316</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0.000189833825538528</v>
      </c>
      <c r="V79">
        <f t="shared" si="16"/>
        <v>9.96444756327839</v>
      </c>
      <c r="W79">
        <f t="shared" si="17"/>
        <v>0.0110035511359786</v>
      </c>
      <c r="X79">
        <f t="shared" si="12"/>
        <v>0.0172520510144968</v>
      </c>
      <c r="Y79">
        <f t="shared" si="13"/>
        <v>0.01695441775029</v>
      </c>
      <c r="Z79">
        <f t="shared" si="14"/>
        <v>0.05719041775029</v>
      </c>
      <c r="AA79">
        <f ca="1" t="shared" si="18"/>
        <v>3660.02731788563</v>
      </c>
      <c r="AB79">
        <f ca="1" t="shared" si="15"/>
        <v>3.61117328996691</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4.33025191740445e-5</v>
      </c>
      <c r="V80">
        <f t="shared" si="16"/>
        <v>9.96444756327839</v>
      </c>
      <c r="W80">
        <f t="shared" si="17"/>
        <v>0.0110035511359786</v>
      </c>
      <c r="X80">
        <f t="shared" si="12"/>
        <v>0.00393532220997793</v>
      </c>
      <c r="Y80">
        <f t="shared" si="13"/>
        <v>0.00391983544908159</v>
      </c>
      <c r="Z80">
        <f t="shared" si="14"/>
        <v>0.0874558354490816</v>
      </c>
      <c r="AA80">
        <f ca="1" t="shared" si="18"/>
        <v>3660.02731788563</v>
      </c>
      <c r="AB80">
        <f ca="1" t="shared" si="15"/>
        <v>1.25966022529568</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9.7141855436224e-5</v>
      </c>
      <c r="V81">
        <f t="shared" si="16"/>
        <v>9.96444756327839</v>
      </c>
      <c r="W81">
        <f t="shared" si="17"/>
        <v>0.0110035511359786</v>
      </c>
      <c r="X81">
        <f t="shared" si="12"/>
        <v>0.00882822774536819</v>
      </c>
      <c r="Y81">
        <f t="shared" si="13"/>
        <v>0.0087502901402441</v>
      </c>
      <c r="Z81">
        <f t="shared" si="14"/>
        <v>0.0755662901402441</v>
      </c>
      <c r="AA81">
        <f ca="1" t="shared" si="18"/>
        <v>3660.02731788563</v>
      </c>
      <c r="AB81">
        <f ca="1" t="shared" si="15"/>
        <v>2.4416643185942</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1.57272603728929e-5</v>
      </c>
      <c r="V82">
        <f t="shared" si="16"/>
        <v>9.96444756327839</v>
      </c>
      <c r="W82">
        <f t="shared" si="17"/>
        <v>0.0110035511359786</v>
      </c>
      <c r="X82">
        <f t="shared" si="12"/>
        <v>0.00142928952467618</v>
      </c>
      <c r="Y82">
        <f t="shared" si="13"/>
        <v>0.00142724665613083</v>
      </c>
      <c r="Z82">
        <f t="shared" si="14"/>
        <v>0.0816832466561308</v>
      </c>
      <c r="AA82">
        <f ca="1" t="shared" si="18"/>
        <v>3660.02731788563</v>
      </c>
      <c r="AB82">
        <f ca="1" t="shared" si="15"/>
        <v>0.427304561497032</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4.43844986881355e-7</v>
      </c>
      <c r="V83">
        <f t="shared" si="16"/>
        <v>9.96444756327839</v>
      </c>
      <c r="W83">
        <f t="shared" si="17"/>
        <v>0.0110035511359786</v>
      </c>
      <c r="X83">
        <f t="shared" si="12"/>
        <v>4.03365224004915e-5</v>
      </c>
      <c r="Y83">
        <f t="shared" si="13"/>
        <v>4.03348953654522e-5</v>
      </c>
      <c r="Z83">
        <f t="shared" si="14"/>
        <v>0.0963763348953655</v>
      </c>
      <c r="AA83">
        <f ca="1" t="shared" si="18"/>
        <v>3660.02731788563</v>
      </c>
      <c r="AB83">
        <f ca="1" t="shared" si="15"/>
        <v>0.0142283056583693</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1.14972820442378e-5</v>
      </c>
      <c r="V84">
        <f t="shared" si="16"/>
        <v>9.96444756327839</v>
      </c>
      <c r="W84">
        <f t="shared" si="17"/>
        <v>0.0110035511359786</v>
      </c>
      <c r="X84">
        <f t="shared" si="12"/>
        <v>0.00104487014257105</v>
      </c>
      <c r="Y84">
        <f t="shared" si="13"/>
        <v>0.00104377838895621</v>
      </c>
      <c r="Z84">
        <f t="shared" si="14"/>
        <v>0.0329547783889562</v>
      </c>
      <c r="AA84">
        <f ca="1" t="shared" si="18"/>
        <v>3660.02731788563</v>
      </c>
      <c r="AB84">
        <f ca="1" t="shared" si="15"/>
        <v>0.126027418866249</v>
      </c>
    </row>
    <row r="85" spans="2:28">
      <c r="B85">
        <v>25</v>
      </c>
      <c r="C85">
        <f t="shared" si="19"/>
        <v>0.25</v>
      </c>
      <c r="D85">
        <f t="shared" si="20"/>
        <v>0.0182435843048765</v>
      </c>
      <c r="E85">
        <f t="shared" si="21"/>
        <v>0.000774026877627722</v>
      </c>
      <c r="U85">
        <f>SUM(U59:U84)</f>
        <v>0.0110035511359786</v>
      </c>
      <c r="AB85">
        <f ca="1">SUM(AB59:AB84)</f>
        <v>651.910668481349</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55">
        <f>毕业时间预测!E9</f>
        <v>44750.5833333333</v>
      </c>
      <c r="T93" s="255"/>
    </row>
    <row r="94" spans="2:20">
      <c r="B94">
        <v>34</v>
      </c>
      <c r="C94">
        <f t="shared" ref="C94:C125" si="22">B94/100</f>
        <v>0.34</v>
      </c>
      <c r="D94">
        <f t="shared" ref="D94:D125" si="23">(1/(2*PI())^0.5)*EXP(-((3-3*C94)^2))+D93</f>
        <v>0.0639471221532668</v>
      </c>
      <c r="E94">
        <f t="shared" ref="E94:E125" si="24">D94/23.5697038852067</f>
        <v>0.00271310672652967</v>
      </c>
      <c r="P94" t="s">
        <v>290</v>
      </c>
      <c r="R94" t="s">
        <v>268</v>
      </c>
      <c r="S94" s="256">
        <f ca="1">S93-NOW()</f>
        <v>24.1723263888562</v>
      </c>
      <c r="T94" s="256"/>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291</v>
      </c>
    </row>
    <row r="99" spans="2:20">
      <c r="B99">
        <v>39</v>
      </c>
      <c r="C99">
        <f t="shared" si="22"/>
        <v>0.39</v>
      </c>
      <c r="D99">
        <f t="shared" si="23"/>
        <v>0.120612513055831</v>
      </c>
      <c r="E99">
        <f t="shared" si="24"/>
        <v>0.00511726891620102</v>
      </c>
      <c r="L99" t="s">
        <v>292</v>
      </c>
      <c r="M99" t="s">
        <v>293</v>
      </c>
      <c r="N99" t="s">
        <v>294</v>
      </c>
      <c r="O99">
        <f>毕业时间预测!C5</f>
        <v>300</v>
      </c>
      <c r="P99">
        <f>毕业时间预测!D5</f>
        <v>343</v>
      </c>
      <c r="Q99">
        <f>IF((P99-O99)&gt;0,P99-O99,0)</f>
        <v>43</v>
      </c>
      <c r="R99">
        <f>SMALL(Q99:Q101,1)</f>
        <v>43</v>
      </c>
      <c r="S99">
        <v>0</v>
      </c>
      <c r="T99">
        <f>0</f>
        <v>0</v>
      </c>
    </row>
    <row r="100" spans="2:20">
      <c r="B100">
        <v>40</v>
      </c>
      <c r="C100">
        <f t="shared" si="22"/>
        <v>0.4</v>
      </c>
      <c r="D100">
        <f t="shared" si="23"/>
        <v>0.136236646676023</v>
      </c>
      <c r="E100">
        <f t="shared" si="24"/>
        <v>0.00578015945128316</v>
      </c>
      <c r="K100" t="s">
        <v>295</v>
      </c>
      <c r="L100">
        <f>白天模拟!B55/(白天模拟!E52+白天模拟!E56+白天模拟!E57+白天模拟!B55)*N100</f>
        <v>2.58361567390122</v>
      </c>
      <c r="M100">
        <f>(白天模拟!E52+白天模拟!E56+白天模拟!E57)/(白天模拟!E52+白天模拟!E56+白天模拟!E57+白天模拟!B55)*N100</f>
        <v>0.105953760866264</v>
      </c>
      <c r="N100">
        <f>'倾向-优先级表'!I16</f>
        <v>2.68956943476748</v>
      </c>
      <c r="O100">
        <f>毕业时间预测!C6</f>
        <v>200</v>
      </c>
      <c r="P100">
        <f>毕业时间预测!D6</f>
        <v>343</v>
      </c>
      <c r="Q100">
        <f>IF((P100-O100)&gt;0,P100-O100,0)</f>
        <v>143</v>
      </c>
      <c r="R100">
        <f>SMALL(Q99:Q101,2)</f>
        <v>143</v>
      </c>
      <c r="S100">
        <f>R100-R99</f>
        <v>100</v>
      </c>
      <c r="T100">
        <f>0</f>
        <v>0</v>
      </c>
    </row>
    <row r="101" spans="2:20">
      <c r="B101">
        <v>41</v>
      </c>
      <c r="C101">
        <f t="shared" si="22"/>
        <v>0.41</v>
      </c>
      <c r="D101">
        <f t="shared" si="23"/>
        <v>0.153627019128793</v>
      </c>
      <c r="E101">
        <f t="shared" si="24"/>
        <v>0.00651798681379345</v>
      </c>
      <c r="H101">
        <f>'倾向-优先级表'!I16</f>
        <v>2.68956943476748</v>
      </c>
      <c r="K101" t="s">
        <v>296</v>
      </c>
      <c r="L101">
        <f>白天模拟!F54/(白天模拟!F52+白天模拟!F56+白天模拟!F57+白天模拟!F54)*N101</f>
        <v>2.84573597862959</v>
      </c>
      <c r="M101">
        <f>(白天模拟!F52+白天模拟!F56+白天模拟!F57)/(白天模拟!F52+白天模拟!F56+白天模拟!F57+白天模拟!F54)*N101</f>
        <v>3.81335526205664</v>
      </c>
      <c r="N101">
        <f>'倾向-优先级表'!I17</f>
        <v>6.65909124068623</v>
      </c>
      <c r="O101">
        <f>毕业时间预测!C7</f>
        <v>100</v>
      </c>
      <c r="P101">
        <f>毕业时间预测!D7</f>
        <v>343</v>
      </c>
      <c r="Q101">
        <f>IF((P101-O101)&gt;0,P101-O101,0)</f>
        <v>243</v>
      </c>
      <c r="R101">
        <f>SMALL(Q99:Q101,3)</f>
        <v>243</v>
      </c>
      <c r="S101">
        <f>R101-R99</f>
        <v>200</v>
      </c>
      <c r="T101">
        <f>S101-S100</f>
        <v>100</v>
      </c>
    </row>
    <row r="102" spans="2:19">
      <c r="B102">
        <v>42</v>
      </c>
      <c r="C102">
        <f t="shared" si="22"/>
        <v>0.42</v>
      </c>
      <c r="D102">
        <f t="shared" si="23"/>
        <v>0.172948485900776</v>
      </c>
      <c r="E102">
        <f t="shared" si="24"/>
        <v>0.00733774538463019</v>
      </c>
      <c r="H102">
        <f>'倾向-优先级表'!I17</f>
        <v>6.65909124068623</v>
      </c>
      <c r="S102" s="158"/>
    </row>
    <row r="103" spans="2:20">
      <c r="B103">
        <v>43</v>
      </c>
      <c r="C103">
        <f t="shared" si="22"/>
        <v>0.43</v>
      </c>
      <c r="D103">
        <f t="shared" si="23"/>
        <v>0.194376877345886</v>
      </c>
      <c r="E103">
        <f t="shared" si="24"/>
        <v>0.00824689517919164</v>
      </c>
      <c r="H103">
        <f>'倾向-优先级表'!I15</f>
        <v>0.842059835391134</v>
      </c>
      <c r="R103" t="s">
        <v>297</v>
      </c>
      <c r="S103" t="s">
        <v>298</v>
      </c>
      <c r="T103" t="s">
        <v>299</v>
      </c>
    </row>
    <row r="104" spans="2:20">
      <c r="B104">
        <v>44</v>
      </c>
      <c r="C104">
        <f t="shared" si="22"/>
        <v>0.44</v>
      </c>
      <c r="D104">
        <f t="shared" si="23"/>
        <v>0.218099206091681</v>
      </c>
      <c r="E104">
        <f t="shared" si="24"/>
        <v>0.00925337064707755</v>
      </c>
      <c r="R104">
        <f>N101/3</f>
        <v>2.21969708022874</v>
      </c>
      <c r="S104">
        <f>L101/2+M101/3</f>
        <v>2.69398641000034</v>
      </c>
      <c r="T104">
        <f>L101+M101/3</f>
        <v>4.11685439931514</v>
      </c>
    </row>
    <row r="105" spans="2:20">
      <c r="B105">
        <v>45</v>
      </c>
      <c r="C105">
        <f t="shared" si="22"/>
        <v>0.45</v>
      </c>
      <c r="D105">
        <f t="shared" si="23"/>
        <v>0.244313812338863</v>
      </c>
      <c r="E105">
        <f t="shared" si="24"/>
        <v>0.0103655868367614</v>
      </c>
      <c r="R105" t="s">
        <v>300</v>
      </c>
      <c r="S105" t="s">
        <v>301</v>
      </c>
      <c r="T105" t="s">
        <v>302</v>
      </c>
    </row>
    <row r="106" spans="2:20">
      <c r="B106">
        <v>46</v>
      </c>
      <c r="C106">
        <f t="shared" si="22"/>
        <v>0.46</v>
      </c>
      <c r="D106">
        <f t="shared" si="23"/>
        <v>0.273230438973862</v>
      </c>
      <c r="E106">
        <f t="shared" si="24"/>
        <v>0.0115924425824184</v>
      </c>
      <c r="R106">
        <f>R99/R104</f>
        <v>19.3720126872306</v>
      </c>
      <c r="S106">
        <f>S100/S104</f>
        <v>37.1197121220768</v>
      </c>
      <c r="T106">
        <f>T101/T104</f>
        <v>24.2903902592804</v>
      </c>
    </row>
    <row r="107" spans="2:20">
      <c r="B107">
        <v>47</v>
      </c>
      <c r="C107">
        <f t="shared" si="22"/>
        <v>0.47</v>
      </c>
      <c r="D107">
        <f t="shared" si="23"/>
        <v>0.305070228346631</v>
      </c>
      <c r="E107">
        <f t="shared" si="24"/>
        <v>0.0129433203672154</v>
      </c>
      <c r="G107">
        <f>毕业时间预测!C3</f>
        <v>300</v>
      </c>
      <c r="H107">
        <f>毕业时间预测!D3</f>
        <v>513</v>
      </c>
      <c r="R107">
        <f>R106</f>
        <v>19.3720126872306</v>
      </c>
      <c r="S107">
        <f>R107+S106</f>
        <v>56.4917248093075</v>
      </c>
      <c r="T107">
        <f>S107+T106</f>
        <v>80.7821150685878</v>
      </c>
    </row>
    <row r="108" spans="2:18">
      <c r="B108">
        <v>48</v>
      </c>
      <c r="C108">
        <f t="shared" si="22"/>
        <v>0.48</v>
      </c>
      <c r="D108">
        <f t="shared" si="23"/>
        <v>0.340065632598466</v>
      </c>
      <c r="E108">
        <f t="shared" si="24"/>
        <v>0.0144280825187586</v>
      </c>
      <c r="G108">
        <f>毕业时间预测!C4</f>
        <v>400</v>
      </c>
      <c r="H108">
        <f>毕业时间预测!D4</f>
        <v>513</v>
      </c>
      <c r="Q108">
        <f>IF(O99&gt;O100,0,1)+IF(O99&gt;O101,0,1)+1</f>
        <v>1</v>
      </c>
      <c r="R108">
        <f>SMALL(R107:T107,Q108)</f>
        <v>19.3720126872306</v>
      </c>
    </row>
    <row r="109" spans="2:18">
      <c r="B109">
        <v>49</v>
      </c>
      <c r="C109">
        <f t="shared" si="22"/>
        <v>0.49</v>
      </c>
      <c r="D109">
        <f t="shared" si="23"/>
        <v>0.378460229568073</v>
      </c>
      <c r="E109">
        <f t="shared" si="24"/>
        <v>0.0160570633984761</v>
      </c>
      <c r="Q109">
        <f>IF(O100&gt;=O99,0,1)+IF(O100&gt;O101,0,1)+1</f>
        <v>2</v>
      </c>
      <c r="R109">
        <f>SMALL(R107:T107,Q109)</f>
        <v>56.4917248093075</v>
      </c>
    </row>
    <row r="110" spans="2:18">
      <c r="B110">
        <v>50</v>
      </c>
      <c r="C110">
        <f t="shared" si="22"/>
        <v>0.5</v>
      </c>
      <c r="D110">
        <f t="shared" si="23"/>
        <v>0.420508436567326</v>
      </c>
      <c r="E110">
        <f t="shared" si="24"/>
        <v>0.0178410572578832</v>
      </c>
      <c r="Q110">
        <f>6-Q108-Q109</f>
        <v>3</v>
      </c>
      <c r="R110">
        <f>SMALL(R107:T107,Q110)</f>
        <v>80.7821150685878</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291</v>
      </c>
    </row>
    <row r="113" spans="2:19">
      <c r="B113">
        <v>53</v>
      </c>
      <c r="C113">
        <f t="shared" si="22"/>
        <v>0.53</v>
      </c>
      <c r="D113">
        <f t="shared" si="23"/>
        <v>0.571272354052182</v>
      </c>
      <c r="E113">
        <f t="shared" si="24"/>
        <v>0.0242375702653921</v>
      </c>
      <c r="N113">
        <f>IF(O113&gt;O114,1,2)</f>
        <v>2</v>
      </c>
      <c r="O113">
        <f>毕业时间预测!C3</f>
        <v>300</v>
      </c>
      <c r="P113">
        <f>毕业时间预测!D3</f>
        <v>513</v>
      </c>
      <c r="Q113">
        <f>IF((P113-O113)&gt;0,P113-O113,0)</f>
        <v>213</v>
      </c>
      <c r="R113">
        <f>SMALL(Q113:Q114,1)</f>
        <v>113</v>
      </c>
      <c r="S113">
        <v>0</v>
      </c>
    </row>
    <row r="114" spans="2:19">
      <c r="B114">
        <v>54</v>
      </c>
      <c r="C114">
        <f t="shared" si="22"/>
        <v>0.54</v>
      </c>
      <c r="D114">
        <f t="shared" si="23"/>
        <v>0.630679632150913</v>
      </c>
      <c r="E114">
        <f t="shared" si="24"/>
        <v>0.026758063453939</v>
      </c>
      <c r="N114">
        <f>3-N113</f>
        <v>1</v>
      </c>
      <c r="O114">
        <f>毕业时间预测!C4</f>
        <v>400</v>
      </c>
      <c r="P114">
        <f>毕业时间预测!D4</f>
        <v>513</v>
      </c>
      <c r="Q114">
        <f>IF((P114-O114)&gt;0,P114-O114,0)</f>
        <v>113</v>
      </c>
      <c r="R114">
        <f>SMALL(Q113:Q114,2)</f>
        <v>213</v>
      </c>
      <c r="S114">
        <f>R114-R113</f>
        <v>100</v>
      </c>
    </row>
    <row r="115" spans="2:19">
      <c r="B115">
        <v>55</v>
      </c>
      <c r="C115">
        <f t="shared" si="22"/>
        <v>0.55</v>
      </c>
      <c r="D115">
        <f t="shared" si="23"/>
        <v>0.695157159234235</v>
      </c>
      <c r="E115">
        <f t="shared" si="24"/>
        <v>0.0294936738543645</v>
      </c>
      <c r="R115" t="s">
        <v>297</v>
      </c>
      <c r="S115" t="s">
        <v>298</v>
      </c>
    </row>
    <row r="116" spans="2:19">
      <c r="B116">
        <v>56</v>
      </c>
      <c r="C116">
        <f t="shared" si="22"/>
        <v>0.56</v>
      </c>
      <c r="D116">
        <f t="shared" si="23"/>
        <v>0.765011815595633</v>
      </c>
      <c r="E116">
        <f t="shared" si="24"/>
        <v>0.0324574215832973</v>
      </c>
      <c r="R116">
        <f>N100/2</f>
        <v>1.34478471738374</v>
      </c>
      <c r="S116">
        <f>L100+M100/2</f>
        <v>2.63659255433435</v>
      </c>
    </row>
    <row r="117" spans="2:19">
      <c r="B117">
        <v>57</v>
      </c>
      <c r="C117">
        <f t="shared" si="22"/>
        <v>0.57</v>
      </c>
      <c r="D117">
        <f t="shared" si="23"/>
        <v>0.8405559272359</v>
      </c>
      <c r="E117">
        <f t="shared" si="24"/>
        <v>0.035662557804278</v>
      </c>
      <c r="R117" t="s">
        <v>300</v>
      </c>
      <c r="S117" t="s">
        <v>301</v>
      </c>
    </row>
    <row r="118" spans="2:19">
      <c r="B118">
        <v>58</v>
      </c>
      <c r="C118">
        <f t="shared" si="22"/>
        <v>0.58</v>
      </c>
      <c r="D118">
        <f t="shared" si="23"/>
        <v>0.922105961218644</v>
      </c>
      <c r="E118">
        <f t="shared" si="24"/>
        <v>0.0391225093751557</v>
      </c>
      <c r="R118">
        <f>R113/R116</f>
        <v>84.0283195810254</v>
      </c>
      <c r="S118">
        <f>S114/S116</f>
        <v>37.9277411807933</v>
      </c>
    </row>
    <row r="119" spans="2:19">
      <c r="B119">
        <v>59</v>
      </c>
      <c r="C119">
        <f t="shared" si="22"/>
        <v>0.59</v>
      </c>
      <c r="D119">
        <f t="shared" si="23"/>
        <v>1.00998108386118</v>
      </c>
      <c r="E119">
        <f t="shared" si="24"/>
        <v>0.0428508176759523</v>
      </c>
      <c r="R119">
        <f>R118</f>
        <v>84.0283195810254</v>
      </c>
      <c r="S119">
        <f>R118+S118</f>
        <v>121.956060761819</v>
      </c>
    </row>
    <row r="120" spans="2:19">
      <c r="B120">
        <v>60</v>
      </c>
      <c r="C120">
        <f t="shared" si="22"/>
        <v>0.6</v>
      </c>
      <c r="D120">
        <f t="shared" si="23"/>
        <v>1.10450158420022</v>
      </c>
      <c r="E120">
        <f t="shared" si="24"/>
        <v>0.0468610717206954</v>
      </c>
      <c r="Q120">
        <f>IF(Q114&gt;Q115,1,2)</f>
        <v>1</v>
      </c>
      <c r="R120">
        <f>SMALL(R119:S119,Q120)</f>
        <v>84.0283195810254</v>
      </c>
      <c r="S120">
        <f>VLOOKUP(N113,Q120:R121,2,0)</f>
        <v>121.956060761819</v>
      </c>
    </row>
    <row r="121" spans="2:19">
      <c r="B121">
        <v>61</v>
      </c>
      <c r="C121">
        <f t="shared" si="22"/>
        <v>0.61</v>
      </c>
      <c r="D121">
        <f t="shared" si="23"/>
        <v>1.20598716687476</v>
      </c>
      <c r="E121">
        <f t="shared" si="24"/>
        <v>0.0511668357289669</v>
      </c>
      <c r="Q121">
        <f>3-Q120</f>
        <v>2</v>
      </c>
      <c r="R121">
        <f>SMALL(R119:S119,Q121)</f>
        <v>121.956060761819</v>
      </c>
      <c r="S121">
        <f>VLOOKUP(N114,Q120:R121,2,0)</f>
        <v>84.0283195810254</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2"/>
  <sheetViews>
    <sheetView topLeftCell="A10" workbookViewId="0">
      <selection activeCell="C8" sqref="C8"/>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5"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4.3333333333333"/>
    <col min="16" max="16" width="12.2222222222222" customWidth="1"/>
    <col min="17" max="17" width="13.5555555555556" customWidth="1"/>
    <col min="18" max="18" width="13.2222222222222"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 min="38" max="39" width="12.8888888888889"/>
    <col min="42" max="58" width="12.8888888888889"/>
    <col min="62" max="63" width="11.7777777777778"/>
    <col min="64" max="64" width="12.8888888888889"/>
    <col min="65" max="67" width="14.1111111111111"/>
    <col min="68" max="68" width="12.8888888888889"/>
  </cols>
  <sheetData>
    <row r="1" ht="16.35" spans="1:31">
      <c r="A1" s="32"/>
      <c r="B1" s="32"/>
      <c r="C1" s="32"/>
      <c r="D1" s="32"/>
      <c r="E1" s="32"/>
      <c r="F1" s="33"/>
      <c r="G1" s="34"/>
      <c r="H1" s="34"/>
      <c r="I1" s="77" t="s">
        <v>303</v>
      </c>
      <c r="J1" s="77" t="s">
        <v>304</v>
      </c>
      <c r="K1" s="77" t="s">
        <v>305</v>
      </c>
      <c r="L1" s="77" t="s">
        <v>306</v>
      </c>
      <c r="M1" s="77" t="s">
        <v>307</v>
      </c>
      <c r="N1" s="77" t="s">
        <v>308</v>
      </c>
      <c r="O1" s="77" t="s">
        <v>309</v>
      </c>
      <c r="P1" s="34" t="s">
        <v>310</v>
      </c>
      <c r="Q1" s="34" t="s">
        <v>311</v>
      </c>
      <c r="R1" s="34"/>
      <c r="S1" s="34"/>
      <c r="T1" s="34" t="s">
        <v>312</v>
      </c>
      <c r="U1" s="34" t="s">
        <v>313</v>
      </c>
      <c r="V1" s="34"/>
      <c r="W1" s="102" t="s">
        <v>314</v>
      </c>
      <c r="X1" s="105" t="s">
        <v>315</v>
      </c>
      <c r="Y1" s="106" t="s">
        <v>316</v>
      </c>
      <c r="Z1" s="106" t="s">
        <v>317</v>
      </c>
      <c r="AA1" s="107" t="s">
        <v>318</v>
      </c>
      <c r="AB1" s="32"/>
      <c r="AC1" s="32"/>
      <c r="AD1" s="32"/>
      <c r="AE1" s="32"/>
    </row>
    <row r="2" ht="15.6" spans="1:31">
      <c r="A2" s="33">
        <f>数据表!H3</f>
        <v>16</v>
      </c>
      <c r="B2" s="35" t="s">
        <v>212</v>
      </c>
      <c r="C2" s="36">
        <v>1</v>
      </c>
      <c r="D2" s="37">
        <v>3995</v>
      </c>
      <c r="E2" s="38">
        <f t="shared" ref="E2:E9" si="0">D2</f>
        <v>3995</v>
      </c>
      <c r="F2" s="39">
        <v>1</v>
      </c>
      <c r="G2" s="40" t="str">
        <f>VLOOKUP(1,数据表!A1:B26,2,0)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SUMIF(F2:F27,"&lt;="&amp;'倾向-优先级表'!I14,O2:O27)</f>
        <v>0.905570518350871</v>
      </c>
      <c r="Q2" s="40">
        <f>VLOOKUP(1,A2:C27,3,0)+'倾向-优先级表'!E12/60</f>
        <v>0.5</v>
      </c>
      <c r="R2" s="40">
        <f>Q2*O2</f>
        <v>0.021538166664117</v>
      </c>
      <c r="S2" s="40">
        <f>R29</f>
        <v>8.96444756327839</v>
      </c>
      <c r="T2" s="40">
        <f>'倾向-优先级表'!I14</f>
        <v>13</v>
      </c>
      <c r="U2" s="40">
        <f>V28</f>
        <v>0.257498837164103</v>
      </c>
      <c r="V2" s="40">
        <f>IF(F2&lt;=T2,O2,0)</f>
        <v>0.0430763333282339</v>
      </c>
      <c r="W2" s="103">
        <f>V2/P2*(1-U2)+U2*O2</f>
        <v>0.04641152807097</v>
      </c>
      <c r="X2" s="54">
        <f>VLOOKUP(G2,G33:L58,6,0)</f>
        <v>750</v>
      </c>
      <c r="Y2" s="32">
        <f>VLOOKUP(G2,G33:L58,4,0)</f>
        <v>23109.12</v>
      </c>
      <c r="Z2" s="32">
        <f>X2*O2</f>
        <v>32.3072499961754</v>
      </c>
      <c r="AA2" s="55">
        <f>Y2*O2</f>
        <v>995.456156042157</v>
      </c>
      <c r="AB2" s="32"/>
      <c r="AC2" s="32"/>
      <c r="AD2" s="32"/>
      <c r="AE2" s="32"/>
    </row>
    <row r="3" ht="15.6" spans="1:31">
      <c r="A3" s="41">
        <f>数据表!H4</f>
        <v>23</v>
      </c>
      <c r="B3" s="42" t="s">
        <v>218</v>
      </c>
      <c r="C3" s="43">
        <v>2</v>
      </c>
      <c r="D3" s="44">
        <v>2649</v>
      </c>
      <c r="E3" s="45">
        <f t="shared" si="0"/>
        <v>2649</v>
      </c>
      <c r="F3" s="39">
        <v>2</v>
      </c>
      <c r="G3" s="40" t="str">
        <f>VLOOKUP(2,数据表!A1:B26,2,0)</f>
        <v>彩船定向0.5h</v>
      </c>
      <c r="H3" s="40">
        <f>VLOOKUP(G3,B2:E27,4,0)</f>
        <v>51.6</v>
      </c>
      <c r="I3" s="78">
        <f>I2-H2</f>
        <v>36228.67</v>
      </c>
      <c r="J3" s="78">
        <f t="shared" si="1"/>
        <v>0.00142428634559314</v>
      </c>
      <c r="K3" s="78">
        <f t="shared" si="2"/>
        <v>0.000474762115197715</v>
      </c>
      <c r="L3" s="78">
        <f t="shared" si="3"/>
        <v>0.994787975462993</v>
      </c>
      <c r="M3" s="78">
        <f t="shared" si="4"/>
        <v>0.00521202453700731</v>
      </c>
      <c r="N3" s="78">
        <f t="shared" ref="N3:N27" si="5">L3*N2</f>
        <v>0.95193615704103</v>
      </c>
      <c r="O3" s="78">
        <f t="shared" ref="O3:O27" si="6">M3*N2</f>
        <v>0.00498750963073625</v>
      </c>
      <c r="P3" s="40">
        <f>P2</f>
        <v>0.905570518350871</v>
      </c>
      <c r="Q3" s="40">
        <f>VLOOKUP(2,A2:C27,3,0)+'倾向-优先级表'!E12/60</f>
        <v>0.5</v>
      </c>
      <c r="R3" s="40">
        <f t="shared" ref="R3:R27" si="7">Q3*O3</f>
        <v>0.00249375481536812</v>
      </c>
      <c r="S3" s="40">
        <f>S2</f>
        <v>8.96444756327839</v>
      </c>
      <c r="T3" s="40">
        <f>T2</f>
        <v>13</v>
      </c>
      <c r="U3" s="40">
        <f>U2</f>
        <v>0.257498837164103</v>
      </c>
      <c r="V3" s="40">
        <f t="shared" ref="V3:V27" si="8">IF(F3&lt;=T3,O3,0)</f>
        <v>0.00498750963073625</v>
      </c>
      <c r="W3" s="103">
        <f t="shared" ref="W3:W27" si="9">V3/P3*(1-U3)+U3*O3</f>
        <v>0.00537366867944234</v>
      </c>
      <c r="X3" s="54">
        <f>VLOOKUP(G3,G33:L58,6,0)</f>
        <v>5750</v>
      </c>
      <c r="Y3" s="32">
        <f>VLOOKUP(G3,G33:L58,4,0)</f>
        <v>12635.44</v>
      </c>
      <c r="Z3" s="32">
        <f t="shared" ref="Z3:Z27" si="10">X3*O3</f>
        <v>28.6781803767334</v>
      </c>
      <c r="AA3" s="55">
        <f t="shared" ref="AA3:AA27" si="11">Y3*O3</f>
        <v>63.01937868859</v>
      </c>
      <c r="AB3" s="32"/>
      <c r="AC3" s="32"/>
      <c r="AD3" s="32"/>
      <c r="AE3" s="32"/>
    </row>
    <row r="4" ht="15.6" spans="1:31">
      <c r="A4" s="41">
        <f>数据表!H5</f>
        <v>25</v>
      </c>
      <c r="B4" s="42" t="s">
        <v>229</v>
      </c>
      <c r="C4" s="43">
        <v>4</v>
      </c>
      <c r="D4" s="44">
        <v>591</v>
      </c>
      <c r="E4" s="45">
        <f t="shared" si="0"/>
        <v>591</v>
      </c>
      <c r="F4" s="39">
        <v>3</v>
      </c>
      <c r="G4" s="40" t="str">
        <f>VLOOKUP(3,数据表!A1:B26,2,0)</f>
        <v>金船定向0.5h</v>
      </c>
      <c r="H4" s="40">
        <f>VLOOKUP(G4,B2:E27,4,0)</f>
        <v>77.4</v>
      </c>
      <c r="I4" s="78">
        <f t="shared" ref="I3:I27" si="12">I3-H3</f>
        <v>36177.07</v>
      </c>
      <c r="J4" s="78">
        <f t="shared" si="1"/>
        <v>0.00213947674590562</v>
      </c>
      <c r="K4" s="78">
        <f t="shared" si="2"/>
        <v>0.000713158915301875</v>
      </c>
      <c r="L4" s="78">
        <f t="shared" si="3"/>
        <v>0.99217861470814</v>
      </c>
      <c r="M4" s="78">
        <f t="shared" si="4"/>
        <v>0.00782138529185983</v>
      </c>
      <c r="N4" s="78">
        <f t="shared" si="5"/>
        <v>0.94449069758356</v>
      </c>
      <c r="O4" s="78">
        <f t="shared" si="6"/>
        <v>0.00744545945747028</v>
      </c>
      <c r="P4" s="40">
        <f t="shared" ref="P4:P27" si="13">P3</f>
        <v>0.905570518350871</v>
      </c>
      <c r="Q4" s="40">
        <f>VLOOKUP(3,A2:C27,3,0)+'倾向-优先级表'!E12/60</f>
        <v>0.5</v>
      </c>
      <c r="R4" s="40">
        <f t="shared" si="7"/>
        <v>0.00372272972873514</v>
      </c>
      <c r="S4" s="40">
        <f t="shared" ref="S4:S27" si="14">S3</f>
        <v>8.96444756327839</v>
      </c>
      <c r="T4" s="40">
        <f t="shared" ref="T4:T27" si="15">T3</f>
        <v>13</v>
      </c>
      <c r="U4" s="40">
        <f t="shared" ref="U4:U27" si="16">U3</f>
        <v>0.257498837164103</v>
      </c>
      <c r="V4" s="40">
        <f t="shared" si="8"/>
        <v>0.00744545945747028</v>
      </c>
      <c r="W4" s="103">
        <f t="shared" si="9"/>
        <v>0.00802192582127599</v>
      </c>
      <c r="X4" s="54">
        <f>VLOOKUP(G4,G33:L58,6,0)</f>
        <v>5750</v>
      </c>
      <c r="Y4" s="32">
        <f>VLOOKUP(G4,G33:L58,4,0)</f>
        <v>11235.96</v>
      </c>
      <c r="Z4" s="32">
        <f t="shared" si="10"/>
        <v>42.8113918804541</v>
      </c>
      <c r="AA4" s="55">
        <f t="shared" si="11"/>
        <v>83.6568846457578</v>
      </c>
      <c r="AB4" s="32"/>
      <c r="AC4" s="32"/>
      <c r="AD4" s="32"/>
      <c r="AE4" s="32"/>
    </row>
    <row r="5" ht="15.6" spans="1:31">
      <c r="A5" s="41">
        <f>数据表!H6</f>
        <v>11</v>
      </c>
      <c r="B5" s="42" t="s">
        <v>231</v>
      </c>
      <c r="C5" s="43">
        <v>0.5</v>
      </c>
      <c r="D5" s="44">
        <v>44</v>
      </c>
      <c r="E5" s="45">
        <f t="shared" si="0"/>
        <v>44</v>
      </c>
      <c r="F5" s="39">
        <v>4</v>
      </c>
      <c r="G5" s="40" t="str">
        <f>VLOOKUP(4,数据表!A1:B26,2,0)</f>
        <v>舰装解析4h</v>
      </c>
      <c r="H5" s="40">
        <f>VLOOKUP(G5,B2:E27,4,0)</f>
        <v>861</v>
      </c>
      <c r="I5" s="78">
        <f t="shared" si="12"/>
        <v>36099.67</v>
      </c>
      <c r="J5" s="78">
        <f t="shared" si="1"/>
        <v>0.0238506335376473</v>
      </c>
      <c r="K5" s="78">
        <f t="shared" si="2"/>
        <v>0.00795021117921577</v>
      </c>
      <c r="L5" s="78">
        <f t="shared" si="3"/>
        <v>0.915410244230478</v>
      </c>
      <c r="M5" s="78">
        <f t="shared" si="4"/>
        <v>0.084589755769522</v>
      </c>
      <c r="N5" s="78">
        <f t="shared" si="5"/>
        <v>0.864596460148381</v>
      </c>
      <c r="O5" s="78">
        <f t="shared" si="6"/>
        <v>0.0798942374351787</v>
      </c>
      <c r="P5" s="40">
        <f t="shared" si="13"/>
        <v>0.905570518350871</v>
      </c>
      <c r="Q5" s="40">
        <f>VLOOKUP(4,A2:C27,3,0)+'倾向-优先级表'!E12/60</f>
        <v>4</v>
      </c>
      <c r="R5" s="40">
        <f t="shared" si="7"/>
        <v>0.319576949740715</v>
      </c>
      <c r="S5" s="40">
        <f t="shared" si="14"/>
        <v>8.96444756327839</v>
      </c>
      <c r="T5" s="40">
        <f t="shared" si="15"/>
        <v>13</v>
      </c>
      <c r="U5" s="40">
        <f t="shared" si="16"/>
        <v>0.257498837164103</v>
      </c>
      <c r="V5" s="40">
        <f t="shared" si="8"/>
        <v>0.0798942374351787</v>
      </c>
      <c r="W5" s="103">
        <f t="shared" si="9"/>
        <v>0.0860800666383823</v>
      </c>
      <c r="X5" s="54">
        <f>VLOOKUP(G5,G33:L58,6,0)</f>
        <v>6000</v>
      </c>
      <c r="Y5" s="32">
        <f>VLOOKUP(G5,G33:L58,4,0)</f>
        <v>11554.56</v>
      </c>
      <c r="Z5" s="32">
        <f t="shared" si="10"/>
        <v>479.365424611072</v>
      </c>
      <c r="AA5" s="55">
        <f t="shared" si="11"/>
        <v>923.142760099018</v>
      </c>
      <c r="AB5" s="32"/>
      <c r="AC5" s="32"/>
      <c r="AD5" s="32"/>
      <c r="AE5" s="32"/>
    </row>
    <row r="6" ht="15.6" spans="1:31">
      <c r="A6" s="41">
        <f>数据表!H7</f>
        <v>5</v>
      </c>
      <c r="B6" s="42" t="s">
        <v>232</v>
      </c>
      <c r="C6" s="43">
        <v>1</v>
      </c>
      <c r="D6" s="44">
        <v>3173</v>
      </c>
      <c r="E6" s="45">
        <f t="shared" si="0"/>
        <v>3173</v>
      </c>
      <c r="F6" s="39">
        <v>5</v>
      </c>
      <c r="G6" s="40" t="str">
        <f>VLOOKUP(5,数据表!A1:B26,2,0)</f>
        <v>舰装解析1h</v>
      </c>
      <c r="H6" s="40">
        <f>VLOOKUP(G6,B2:E27,4,0)</f>
        <v>3173</v>
      </c>
      <c r="I6" s="78">
        <f t="shared" si="12"/>
        <v>35238.67</v>
      </c>
      <c r="J6" s="78">
        <f t="shared" si="1"/>
        <v>0.0900431259182029</v>
      </c>
      <c r="K6" s="78">
        <f t="shared" si="2"/>
        <v>0.0300143753060676</v>
      </c>
      <c r="L6" s="78">
        <f t="shared" si="3"/>
        <v>0.708913140282522</v>
      </c>
      <c r="M6" s="78">
        <f t="shared" si="4"/>
        <v>0.291086859717478</v>
      </c>
      <c r="N6" s="78">
        <f t="shared" si="5"/>
        <v>0.612923791640941</v>
      </c>
      <c r="O6" s="78">
        <f t="shared" si="6"/>
        <v>0.25167266850744</v>
      </c>
      <c r="P6" s="40">
        <f t="shared" si="13"/>
        <v>0.905570518350871</v>
      </c>
      <c r="Q6" s="40">
        <f>VLOOKUP(5,A2:C27,3,0)+'倾向-优先级表'!E12/60</f>
        <v>1</v>
      </c>
      <c r="R6" s="40">
        <f t="shared" si="7"/>
        <v>0.25167266850744</v>
      </c>
      <c r="S6" s="40">
        <f t="shared" si="14"/>
        <v>8.96444756327839</v>
      </c>
      <c r="T6" s="40">
        <f t="shared" si="15"/>
        <v>13</v>
      </c>
      <c r="U6" s="40">
        <f t="shared" si="16"/>
        <v>0.257498837164103</v>
      </c>
      <c r="V6" s="40">
        <f t="shared" si="8"/>
        <v>0.25167266850744</v>
      </c>
      <c r="W6" s="103">
        <f t="shared" si="9"/>
        <v>0.271158481157753</v>
      </c>
      <c r="X6" s="54">
        <f>VLOOKUP(G6,G33:L58,6,0)</f>
        <v>1500</v>
      </c>
      <c r="Y6" s="32">
        <f>VLOOKUP(G6,G33:L58,4,0)</f>
        <v>2945.28</v>
      </c>
      <c r="Z6" s="32">
        <f t="shared" si="10"/>
        <v>377.50900276116</v>
      </c>
      <c r="AA6" s="55">
        <f t="shared" si="11"/>
        <v>741.246477101593</v>
      </c>
      <c r="AB6" s="32"/>
      <c r="AC6" s="32"/>
      <c r="AD6" s="32"/>
      <c r="AE6" s="32"/>
    </row>
    <row r="7" ht="15.6" spans="1:31">
      <c r="A7" s="41">
        <f>数据表!H8</f>
        <v>6</v>
      </c>
      <c r="B7" s="42" t="s">
        <v>233</v>
      </c>
      <c r="C7" s="43">
        <v>2</v>
      </c>
      <c r="D7" s="44">
        <v>1588</v>
      </c>
      <c r="E7" s="45">
        <f t="shared" si="0"/>
        <v>1588</v>
      </c>
      <c r="F7" s="39">
        <v>6</v>
      </c>
      <c r="G7" s="40" t="str">
        <f>VLOOKUP(6,数据表!A1:B26,2,0)</f>
        <v>舰装解析2h</v>
      </c>
      <c r="H7" s="40">
        <f>VLOOKUP(G7,B2:E27,4,0)</f>
        <v>1588</v>
      </c>
      <c r="I7" s="78">
        <f t="shared" si="12"/>
        <v>32065.67</v>
      </c>
      <c r="J7" s="78">
        <f t="shared" si="1"/>
        <v>0.0495233687616694</v>
      </c>
      <c r="K7" s="78">
        <f t="shared" si="2"/>
        <v>0.0165077895872231</v>
      </c>
      <c r="L7" s="78">
        <f t="shared" si="3"/>
        <v>0.83055075978361</v>
      </c>
      <c r="M7" s="78">
        <f t="shared" si="4"/>
        <v>0.16944924021639</v>
      </c>
      <c r="N7" s="78">
        <f t="shared" si="5"/>
        <v>0.509064320836834</v>
      </c>
      <c r="O7" s="78">
        <f t="shared" si="6"/>
        <v>0.103859470804107</v>
      </c>
      <c r="P7" s="40">
        <f t="shared" si="13"/>
        <v>0.905570518350871</v>
      </c>
      <c r="Q7" s="40">
        <f>VLOOKUP(6,A2:C27,3,0)+'倾向-优先级表'!E12/60</f>
        <v>2</v>
      </c>
      <c r="R7" s="40">
        <f t="shared" si="7"/>
        <v>0.207718941608213</v>
      </c>
      <c r="S7" s="40">
        <f t="shared" si="14"/>
        <v>8.96444756327839</v>
      </c>
      <c r="T7" s="40">
        <f t="shared" si="15"/>
        <v>13</v>
      </c>
      <c r="U7" s="40">
        <f t="shared" si="16"/>
        <v>0.257498837164103</v>
      </c>
      <c r="V7" s="40">
        <f t="shared" si="8"/>
        <v>0.103859470804107</v>
      </c>
      <c r="W7" s="103">
        <f t="shared" si="9"/>
        <v>0.111900813561156</v>
      </c>
      <c r="X7" s="54">
        <f>VLOOKUP(G7,G33:L58,6,0)</f>
        <v>3000</v>
      </c>
      <c r="Y7" s="32">
        <f>VLOOKUP(G7,G33:L58,4,0)</f>
        <v>5324.16</v>
      </c>
      <c r="Z7" s="32">
        <f t="shared" si="10"/>
        <v>311.578412412321</v>
      </c>
      <c r="AA7" s="55">
        <f t="shared" si="11"/>
        <v>552.964440076394</v>
      </c>
      <c r="AB7" s="32"/>
      <c r="AC7" s="32"/>
      <c r="AD7" s="32"/>
      <c r="AE7" s="32"/>
    </row>
    <row r="8" ht="15.6" spans="1:31">
      <c r="A8" s="41">
        <f>数据表!H9</f>
        <v>4</v>
      </c>
      <c r="B8" s="42" t="s">
        <v>235</v>
      </c>
      <c r="C8" s="43">
        <v>4</v>
      </c>
      <c r="D8" s="44">
        <v>861</v>
      </c>
      <c r="E8" s="45">
        <f t="shared" si="0"/>
        <v>861</v>
      </c>
      <c r="F8" s="39">
        <v>7</v>
      </c>
      <c r="G8" s="40" t="str">
        <f>VLOOKUP(7,数据表!A1:B26,2,0)</f>
        <v>资金募集1.5h</v>
      </c>
      <c r="H8" s="40">
        <f>VLOOKUP(G8,B2:E27,4,0)</f>
        <v>3436</v>
      </c>
      <c r="I8" s="78">
        <f t="shared" si="12"/>
        <v>30477.67</v>
      </c>
      <c r="J8" s="78">
        <f t="shared" si="1"/>
        <v>0.112738276908963</v>
      </c>
      <c r="K8" s="78">
        <f t="shared" si="2"/>
        <v>0.0375794256363211</v>
      </c>
      <c r="L8" s="78">
        <f t="shared" si="3"/>
        <v>0.646971330535011</v>
      </c>
      <c r="M8" s="78">
        <f t="shared" si="4"/>
        <v>0.353028669464989</v>
      </c>
      <c r="N8" s="78">
        <f t="shared" si="5"/>
        <v>0.329350020979708</v>
      </c>
      <c r="O8" s="78">
        <f t="shared" si="6"/>
        <v>0.179714299857126</v>
      </c>
      <c r="P8" s="40">
        <f t="shared" si="13"/>
        <v>0.905570518350871</v>
      </c>
      <c r="Q8" s="40">
        <f>VLOOKUP(7,A2:C27,3,0)+'倾向-优先级表'!E12/60</f>
        <v>1.5</v>
      </c>
      <c r="R8" s="40">
        <f t="shared" si="7"/>
        <v>0.269571449785689</v>
      </c>
      <c r="S8" s="40">
        <f t="shared" si="14"/>
        <v>8.96444756327839</v>
      </c>
      <c r="T8" s="40">
        <f t="shared" si="15"/>
        <v>13</v>
      </c>
      <c r="U8" s="40">
        <f t="shared" si="16"/>
        <v>0.257498837164103</v>
      </c>
      <c r="V8" s="40">
        <f t="shared" si="8"/>
        <v>0.179714299857126</v>
      </c>
      <c r="W8" s="103">
        <f t="shared" si="9"/>
        <v>0.193628719719903</v>
      </c>
      <c r="X8" s="54">
        <f>VLOOKUP(G8,G33:L58,6,0)</f>
        <v>2250</v>
      </c>
      <c r="Y8" s="32">
        <f>VLOOKUP(G8,G33:L58,4,0)</f>
        <v>1982.4</v>
      </c>
      <c r="Z8" s="32">
        <f t="shared" si="10"/>
        <v>404.357174678534</v>
      </c>
      <c r="AA8" s="55">
        <f t="shared" si="11"/>
        <v>356.265628036767</v>
      </c>
      <c r="AB8" s="32"/>
      <c r="AC8" s="32"/>
      <c r="AD8" s="32"/>
      <c r="AE8" s="32"/>
    </row>
    <row r="9" ht="15.6" spans="1:31">
      <c r="A9" s="41">
        <f>数据表!H10</f>
        <v>1</v>
      </c>
      <c r="B9" s="42" t="s">
        <v>237</v>
      </c>
      <c r="C9" s="43">
        <v>0.5</v>
      </c>
      <c r="D9" s="44">
        <v>438</v>
      </c>
      <c r="E9" s="45">
        <f t="shared" si="0"/>
        <v>438</v>
      </c>
      <c r="F9" s="39">
        <v>8</v>
      </c>
      <c r="G9" s="40" t="str">
        <f>VLOOKUP(8,数据表!A1:B26,2,0)</f>
        <v>资金募集4h</v>
      </c>
      <c r="H9" s="40">
        <f>VLOOKUP(G9,B2:E27,4,0)</f>
        <v>1793</v>
      </c>
      <c r="I9" s="78">
        <f t="shared" si="12"/>
        <v>27041.67</v>
      </c>
      <c r="J9" s="78">
        <f t="shared" si="1"/>
        <v>0.0663050765725638</v>
      </c>
      <c r="K9" s="78">
        <f t="shared" si="2"/>
        <v>0.0221016921908546</v>
      </c>
      <c r="L9" s="78">
        <f t="shared" si="3"/>
        <v>0.778399201552588</v>
      </c>
      <c r="M9" s="78">
        <f t="shared" si="4"/>
        <v>0.221600798447412</v>
      </c>
      <c r="N9" s="78">
        <f t="shared" si="5"/>
        <v>0.256365793361933</v>
      </c>
      <c r="O9" s="78">
        <f t="shared" si="6"/>
        <v>0.0729842276177753</v>
      </c>
      <c r="P9" s="40">
        <f t="shared" si="13"/>
        <v>0.905570518350871</v>
      </c>
      <c r="Q9" s="40">
        <f>VLOOKUP(8,A2:C27,3,0)+'倾向-优先级表'!E12/60</f>
        <v>4</v>
      </c>
      <c r="R9" s="40">
        <f t="shared" si="7"/>
        <v>0.291936910471101</v>
      </c>
      <c r="S9" s="40">
        <f t="shared" si="14"/>
        <v>8.96444756327839</v>
      </c>
      <c r="T9" s="40">
        <f t="shared" si="15"/>
        <v>13</v>
      </c>
      <c r="U9" s="40">
        <f t="shared" si="16"/>
        <v>0.257498837164103</v>
      </c>
      <c r="V9" s="40">
        <f t="shared" si="8"/>
        <v>0.0729842276177753</v>
      </c>
      <c r="W9" s="103">
        <f t="shared" si="9"/>
        <v>0.0786350477653183</v>
      </c>
      <c r="X9" s="54">
        <f>VLOOKUP(G9,G33:L58,6,0)</f>
        <v>6000</v>
      </c>
      <c r="Y9" s="32">
        <f>VLOOKUP(G9,G33:L58,4,0)</f>
        <v>7400.96</v>
      </c>
      <c r="Z9" s="32">
        <f t="shared" si="10"/>
        <v>437.905365706652</v>
      </c>
      <c r="AA9" s="55">
        <f t="shared" si="11"/>
        <v>540.15334923005</v>
      </c>
      <c r="AB9" s="32"/>
      <c r="AC9" s="32"/>
      <c r="AD9" s="32"/>
      <c r="AE9" s="32"/>
    </row>
    <row r="10" ht="15.6" spans="1:31">
      <c r="A10" s="41">
        <f>数据表!H11</f>
        <v>13</v>
      </c>
      <c r="B10" s="42" t="s">
        <v>238</v>
      </c>
      <c r="C10" s="43">
        <v>2.5</v>
      </c>
      <c r="D10" s="44">
        <v>4817</v>
      </c>
      <c r="E10" s="45">
        <f>D28*D10</f>
        <v>2890.2</v>
      </c>
      <c r="F10" s="39">
        <v>9</v>
      </c>
      <c r="G10" s="40" t="str">
        <f>VLOOKUP(9,数据表!A1:B26,2,0)</f>
        <v>试验品募集2h紫</v>
      </c>
      <c r="H10" s="40">
        <f>VLOOKUP(G10,B2:E27,4,0)</f>
        <v>482</v>
      </c>
      <c r="I10" s="78">
        <f t="shared" si="12"/>
        <v>25248.67</v>
      </c>
      <c r="J10" s="78">
        <f t="shared" si="1"/>
        <v>0.0190901144495928</v>
      </c>
      <c r="K10" s="78">
        <f t="shared" si="2"/>
        <v>0.0063633714831976</v>
      </c>
      <c r="L10" s="78">
        <f t="shared" si="3"/>
        <v>0.931842510867417</v>
      </c>
      <c r="M10" s="78">
        <f t="shared" si="4"/>
        <v>0.0681574891325833</v>
      </c>
      <c r="N10" s="78">
        <f t="shared" si="5"/>
        <v>0.238892544586901</v>
      </c>
      <c r="O10" s="78">
        <f t="shared" si="6"/>
        <v>0.0174732487750321</v>
      </c>
      <c r="P10" s="40">
        <f t="shared" si="13"/>
        <v>0.905570518350871</v>
      </c>
      <c r="Q10" s="40">
        <f>VLOOKUP(9,A2:C27,3,0)+'倾向-优先级表'!E12/60</f>
        <v>2</v>
      </c>
      <c r="R10" s="40">
        <f t="shared" si="7"/>
        <v>0.0349464975500641</v>
      </c>
      <c r="S10" s="40">
        <f t="shared" si="14"/>
        <v>8.96444756327839</v>
      </c>
      <c r="T10" s="40">
        <f t="shared" si="15"/>
        <v>13</v>
      </c>
      <c r="U10" s="40">
        <f t="shared" si="16"/>
        <v>0.257498837164103</v>
      </c>
      <c r="V10" s="40">
        <f t="shared" si="8"/>
        <v>0.0174732487750321</v>
      </c>
      <c r="W10" s="103">
        <f t="shared" si="9"/>
        <v>0.0188261189696457</v>
      </c>
      <c r="X10" s="54">
        <f>VLOOKUP(G10,G33:L58,6,0)</f>
        <v>3000</v>
      </c>
      <c r="Y10" s="32">
        <f>VLOOKUP(G10,G33:L58,4,0)</f>
        <v>2378.88</v>
      </c>
      <c r="Z10" s="32">
        <f t="shared" si="10"/>
        <v>52.4197463250963</v>
      </c>
      <c r="AA10" s="55">
        <f t="shared" si="11"/>
        <v>41.5667620459484</v>
      </c>
      <c r="AB10" s="32"/>
      <c r="AC10" s="32"/>
      <c r="AD10" s="32"/>
      <c r="AE10" s="32"/>
    </row>
    <row r="11" ht="15.6" spans="1:31">
      <c r="A11" s="41">
        <f>数据表!H12</f>
        <v>19</v>
      </c>
      <c r="B11" s="42" t="s">
        <v>239</v>
      </c>
      <c r="C11" s="43">
        <v>5</v>
      </c>
      <c r="D11" s="44">
        <v>3036</v>
      </c>
      <c r="E11" s="45">
        <f>D28*D11</f>
        <v>1821.6</v>
      </c>
      <c r="F11" s="39">
        <v>10</v>
      </c>
      <c r="G11" s="40" t="str">
        <f>VLOOKUP(10,数据表!A1:B26,2,0)</f>
        <v>彩船定向2.5h</v>
      </c>
      <c r="H11" s="40">
        <f>VLOOKUP(G11,B2:E27,4,0)</f>
        <v>1926.8</v>
      </c>
      <c r="I11" s="78">
        <f t="shared" si="12"/>
        <v>24766.67</v>
      </c>
      <c r="J11" s="78">
        <f t="shared" si="1"/>
        <v>0.0777981052761635</v>
      </c>
      <c r="K11" s="78">
        <f t="shared" si="2"/>
        <v>0.0259327017587212</v>
      </c>
      <c r="L11" s="78">
        <f t="shared" si="3"/>
        <v>0.744142239742224</v>
      </c>
      <c r="M11" s="78">
        <f t="shared" si="4"/>
        <v>0.255857760257776</v>
      </c>
      <c r="N11" s="78">
        <f t="shared" si="5"/>
        <v>0.177770033186616</v>
      </c>
      <c r="O11" s="78">
        <f t="shared" si="6"/>
        <v>0.0611225114002854</v>
      </c>
      <c r="P11" s="40">
        <f t="shared" si="13"/>
        <v>0.905570518350871</v>
      </c>
      <c r="Q11" s="40">
        <f>VLOOKUP(10,A2:C27,3,0)+'倾向-优先级表'!E12/60</f>
        <v>2.5</v>
      </c>
      <c r="R11" s="40">
        <f t="shared" si="7"/>
        <v>0.152806278500713</v>
      </c>
      <c r="S11" s="40">
        <f t="shared" si="14"/>
        <v>8.96444756327839</v>
      </c>
      <c r="T11" s="40">
        <f t="shared" si="15"/>
        <v>13</v>
      </c>
      <c r="U11" s="40">
        <f t="shared" si="16"/>
        <v>0.257498837164103</v>
      </c>
      <c r="V11" s="40">
        <f t="shared" si="8"/>
        <v>0.0611225114002854</v>
      </c>
      <c r="W11" s="103">
        <f t="shared" si="9"/>
        <v>0.0658549355166028</v>
      </c>
      <c r="X11" s="54">
        <f>VLOOKUP(G11,G33:L58,6,0)</f>
        <v>3750</v>
      </c>
      <c r="Y11" s="32">
        <f>VLOOKUP(G11,G33:L58,4,0)</f>
        <v>3422</v>
      </c>
      <c r="Z11" s="32">
        <f t="shared" si="10"/>
        <v>229.20941775107</v>
      </c>
      <c r="AA11" s="55">
        <f t="shared" si="11"/>
        <v>209.161234011777</v>
      </c>
      <c r="AB11" s="32"/>
      <c r="AC11" s="32"/>
      <c r="AD11" s="32"/>
      <c r="AE11" s="32"/>
    </row>
    <row r="12" ht="15.6" spans="1:31">
      <c r="A12" s="41">
        <f>数据表!H13</f>
        <v>22</v>
      </c>
      <c r="B12" s="42" t="s">
        <v>240</v>
      </c>
      <c r="C12" s="43">
        <v>8</v>
      </c>
      <c r="D12" s="44">
        <v>716</v>
      </c>
      <c r="E12" s="45">
        <f>D28*D12</f>
        <v>429.6</v>
      </c>
      <c r="F12" s="39">
        <v>11</v>
      </c>
      <c r="G12" s="40" t="str">
        <f>VLOOKUP(11,数据表!A1:B26,2,0)</f>
        <v>心智补全0.5h</v>
      </c>
      <c r="H12" s="40">
        <f>VLOOKUP(G12,B2:E27,4,0)</f>
        <v>44</v>
      </c>
      <c r="I12" s="78">
        <f t="shared" si="12"/>
        <v>22839.87</v>
      </c>
      <c r="J12" s="78">
        <f t="shared" si="1"/>
        <v>0.00192645579856628</v>
      </c>
      <c r="K12" s="78">
        <f t="shared" si="2"/>
        <v>0.000642151932855426</v>
      </c>
      <c r="L12" s="78">
        <f t="shared" si="3"/>
        <v>0.992955273439437</v>
      </c>
      <c r="M12" s="78">
        <f t="shared" si="4"/>
        <v>0.00704472656056321</v>
      </c>
      <c r="N12" s="78">
        <f t="shared" si="5"/>
        <v>0.176517691912154</v>
      </c>
      <c r="O12" s="78">
        <f t="shared" si="6"/>
        <v>0.00125234127446195</v>
      </c>
      <c r="P12" s="40">
        <f t="shared" si="13"/>
        <v>0.905570518350871</v>
      </c>
      <c r="Q12" s="40">
        <f>VLOOKUP(11,A2:C27,3,0)+'倾向-优先级表'!E12/60</f>
        <v>0.5</v>
      </c>
      <c r="R12" s="40">
        <f t="shared" si="7"/>
        <v>0.000626170637230977</v>
      </c>
      <c r="S12" s="40">
        <f t="shared" si="14"/>
        <v>8.96444756327839</v>
      </c>
      <c r="T12" s="40">
        <f t="shared" si="15"/>
        <v>13</v>
      </c>
      <c r="U12" s="40">
        <f t="shared" si="16"/>
        <v>0.257498837164103</v>
      </c>
      <c r="V12" s="40">
        <f t="shared" si="8"/>
        <v>0.00125234127446195</v>
      </c>
      <c r="W12" s="103">
        <f t="shared" si="9"/>
        <v>0.00134930407774584</v>
      </c>
      <c r="X12" s="54">
        <f>VLOOKUP(G12,G33:L58,6,0)</f>
        <v>3750</v>
      </c>
      <c r="Y12" s="32">
        <f>VLOOKUP(G12,G33:L58,4,0)</f>
        <v>3237.92</v>
      </c>
      <c r="Z12" s="32">
        <f t="shared" si="10"/>
        <v>4.69627977923231</v>
      </c>
      <c r="AA12" s="55">
        <f t="shared" si="11"/>
        <v>4.05498085940584</v>
      </c>
      <c r="AB12" s="32"/>
      <c r="AC12" s="32"/>
      <c r="AD12" s="32"/>
      <c r="AE12" s="32"/>
    </row>
    <row r="13" ht="15.6" spans="1:31">
      <c r="A13" s="41">
        <f>数据表!H14</f>
        <v>3</v>
      </c>
      <c r="B13" s="42" t="s">
        <v>242</v>
      </c>
      <c r="C13" s="43">
        <v>0.5</v>
      </c>
      <c r="D13" s="44">
        <v>129</v>
      </c>
      <c r="E13" s="45">
        <f>D28*D13</f>
        <v>77.4</v>
      </c>
      <c r="F13" s="39">
        <v>12</v>
      </c>
      <c r="G13" s="40" t="str">
        <f>VLOOKUP(12,数据表!A1:B26,2,0)</f>
        <v>试验品募集2h蓝</v>
      </c>
      <c r="H13" s="40">
        <f>VLOOKUP(G13,B2:E27,4,0)</f>
        <v>709</v>
      </c>
      <c r="I13" s="78">
        <f t="shared" si="12"/>
        <v>22795.87</v>
      </c>
      <c r="J13" s="78">
        <f t="shared" si="1"/>
        <v>0.0311021250779198</v>
      </c>
      <c r="K13" s="78">
        <f t="shared" si="2"/>
        <v>0.0103673750259733</v>
      </c>
      <c r="L13" s="78">
        <f t="shared" si="3"/>
        <v>0.89080371262614</v>
      </c>
      <c r="M13" s="78">
        <f t="shared" si="4"/>
        <v>0.10919628737386</v>
      </c>
      <c r="N13" s="78">
        <f t="shared" si="5"/>
        <v>0.157242615299544</v>
      </c>
      <c r="O13" s="78">
        <f t="shared" si="6"/>
        <v>0.0192750766126099</v>
      </c>
      <c r="P13" s="40">
        <f t="shared" si="13"/>
        <v>0.905570518350871</v>
      </c>
      <c r="Q13" s="40">
        <f>VLOOKUP(12,A2:C27,3,0)+'倾向-优先级表'!E12/60</f>
        <v>2</v>
      </c>
      <c r="R13" s="40">
        <f t="shared" si="7"/>
        <v>0.0385501532252199</v>
      </c>
      <c r="S13" s="40">
        <f t="shared" si="14"/>
        <v>8.96444756327839</v>
      </c>
      <c r="T13" s="40">
        <f t="shared" si="15"/>
        <v>13</v>
      </c>
      <c r="U13" s="40">
        <f t="shared" si="16"/>
        <v>0.257498837164103</v>
      </c>
      <c r="V13" s="40">
        <f t="shared" si="8"/>
        <v>0.0192750766126099</v>
      </c>
      <c r="W13" s="103">
        <f t="shared" si="9"/>
        <v>0.0207674537305592</v>
      </c>
      <c r="X13" s="54">
        <f>VLOOKUP(G13,G33:L58,6,0)</f>
        <v>3000</v>
      </c>
      <c r="Y13" s="32">
        <f>VLOOKUP(G13,G33:L58,4,0)</f>
        <v>2039.04</v>
      </c>
      <c r="Z13" s="32">
        <f t="shared" si="10"/>
        <v>57.8252298378297</v>
      </c>
      <c r="AA13" s="55">
        <f t="shared" si="11"/>
        <v>39.3026522161761</v>
      </c>
      <c r="AB13" s="32"/>
      <c r="AC13" s="32"/>
      <c r="AD13" s="32"/>
      <c r="AE13" s="32"/>
    </row>
    <row r="14" ht="15.6" spans="1:31">
      <c r="A14" s="41">
        <f>数据表!H15</f>
        <v>10</v>
      </c>
      <c r="B14" s="42" t="s">
        <v>243</v>
      </c>
      <c r="C14" s="43">
        <v>2.5</v>
      </c>
      <c r="D14" s="44"/>
      <c r="E14" s="45">
        <f>D29*D10</f>
        <v>1926.8</v>
      </c>
      <c r="F14" s="39">
        <v>13</v>
      </c>
      <c r="G14" s="40" t="str">
        <f>VLOOKUP(13,数据表!A1:B26,2,0)</f>
        <v>金船定向2.5h</v>
      </c>
      <c r="H14" s="40">
        <f>VLOOKUP(G14,B2:E27,4,0)</f>
        <v>2890.2</v>
      </c>
      <c r="I14" s="78">
        <f t="shared" si="12"/>
        <v>22086.87</v>
      </c>
      <c r="J14" s="78">
        <f t="shared" si="1"/>
        <v>0.130856024416316</v>
      </c>
      <c r="K14" s="78">
        <f t="shared" si="2"/>
        <v>0.0436186748054387</v>
      </c>
      <c r="L14" s="78">
        <f t="shared" si="3"/>
        <v>0.600533649667699</v>
      </c>
      <c r="M14" s="78">
        <f t="shared" si="4"/>
        <v>0.399466350332301</v>
      </c>
      <c r="N14" s="78">
        <f t="shared" si="5"/>
        <v>0.0944294816491289</v>
      </c>
      <c r="O14" s="78">
        <f t="shared" si="6"/>
        <v>0.0628131336504147</v>
      </c>
      <c r="P14" s="40">
        <f t="shared" si="13"/>
        <v>0.905570518350871</v>
      </c>
      <c r="Q14" s="40">
        <f>VLOOKUP(13,A2:C27,3,0)+'倾向-优先级表'!E12/60</f>
        <v>2.5</v>
      </c>
      <c r="R14" s="40">
        <f t="shared" si="7"/>
        <v>0.157032834126037</v>
      </c>
      <c r="S14" s="40">
        <f t="shared" si="14"/>
        <v>8.96444756327839</v>
      </c>
      <c r="T14" s="40">
        <f t="shared" si="15"/>
        <v>13</v>
      </c>
      <c r="U14" s="40">
        <f t="shared" si="16"/>
        <v>0.257498837164103</v>
      </c>
      <c r="V14" s="40">
        <f t="shared" si="8"/>
        <v>0.0628131336504147</v>
      </c>
      <c r="W14" s="103">
        <f t="shared" si="9"/>
        <v>0.0676764545725865</v>
      </c>
      <c r="X14" s="54">
        <f>VLOOKUP(G14,G33:L58,6,0)</f>
        <v>3750</v>
      </c>
      <c r="Y14" s="32">
        <f>VLOOKUP(G14,G33:L58,4,0)</f>
        <v>3068</v>
      </c>
      <c r="Z14" s="32">
        <f t="shared" si="10"/>
        <v>235.549251189055</v>
      </c>
      <c r="AA14" s="55">
        <f t="shared" si="11"/>
        <v>192.710694039472</v>
      </c>
      <c r="AB14" s="32"/>
      <c r="AC14" s="32"/>
      <c r="AD14" s="32"/>
      <c r="AE14" s="32"/>
    </row>
    <row r="15" ht="15.6" spans="1:31">
      <c r="A15" s="41">
        <f>数据表!H16</f>
        <v>18</v>
      </c>
      <c r="B15" s="42" t="s">
        <v>244</v>
      </c>
      <c r="C15" s="43">
        <v>5</v>
      </c>
      <c r="D15" s="44"/>
      <c r="E15" s="45">
        <f>D29*D11</f>
        <v>1214.4</v>
      </c>
      <c r="F15" s="39">
        <v>14</v>
      </c>
      <c r="G15" s="40" t="str">
        <f>VLOOKUP(14,数据表!A1:B26,2,0)</f>
        <v>资金募集2.5h</v>
      </c>
      <c r="H15" s="40">
        <f>VLOOKUP(G15,B2:E27,4,0)</f>
        <v>2346</v>
      </c>
      <c r="I15" s="78">
        <f t="shared" si="12"/>
        <v>19196.67</v>
      </c>
      <c r="J15" s="78">
        <f t="shared" si="1"/>
        <v>0.122208695570638</v>
      </c>
      <c r="K15" s="78">
        <f t="shared" si="2"/>
        <v>0.0407362318568793</v>
      </c>
      <c r="L15" s="78">
        <f t="shared" si="3"/>
        <v>0.622371798849808</v>
      </c>
      <c r="M15" s="78">
        <f t="shared" si="4"/>
        <v>0.377628201150192</v>
      </c>
      <c r="N15" s="78">
        <f t="shared" si="5"/>
        <v>0.0587702463584233</v>
      </c>
      <c r="O15" s="78">
        <f t="shared" si="6"/>
        <v>0.0356592352907056</v>
      </c>
      <c r="P15" s="40">
        <f t="shared" si="13"/>
        <v>0.905570518350871</v>
      </c>
      <c r="Q15" s="40">
        <f>VLOOKUP(14,A2:C27,3,0)+'倾向-优先级表'!E12/60</f>
        <v>2.5</v>
      </c>
      <c r="R15" s="40">
        <f t="shared" si="7"/>
        <v>0.089148088226764</v>
      </c>
      <c r="S15" s="40">
        <f t="shared" si="14"/>
        <v>8.96444756327839</v>
      </c>
      <c r="T15" s="40">
        <f t="shared" si="15"/>
        <v>13</v>
      </c>
      <c r="U15" s="40">
        <f t="shared" si="16"/>
        <v>0.257498837164103</v>
      </c>
      <c r="V15" s="40">
        <f t="shared" si="8"/>
        <v>0</v>
      </c>
      <c r="W15" s="103">
        <f t="shared" si="9"/>
        <v>0.00918221162151785</v>
      </c>
      <c r="X15" s="54">
        <f>VLOOKUP(G15,G33:L58,6,0)</f>
        <v>3750</v>
      </c>
      <c r="Y15" s="32">
        <f>VLOOKUP(G15,G33:L58,4,0)</f>
        <v>2749.4</v>
      </c>
      <c r="Z15" s="32">
        <f t="shared" si="10"/>
        <v>133.722132340146</v>
      </c>
      <c r="AA15" s="55">
        <f t="shared" si="11"/>
        <v>98.041501508266</v>
      </c>
      <c r="AB15" s="32"/>
      <c r="AC15" s="32"/>
      <c r="AD15" s="32"/>
      <c r="AE15" s="32"/>
    </row>
    <row r="16" ht="15.6" spans="1:31">
      <c r="A16" s="41">
        <f>数据表!H17</f>
        <v>21</v>
      </c>
      <c r="B16" s="42" t="s">
        <v>245</v>
      </c>
      <c r="C16" s="43">
        <v>8</v>
      </c>
      <c r="D16" s="44"/>
      <c r="E16" s="45">
        <f>D29*D12</f>
        <v>286.4</v>
      </c>
      <c r="F16" s="39">
        <v>15</v>
      </c>
      <c r="G16" s="40" t="str">
        <f>VLOOKUP(15,数据表!A1:B26,2,0)</f>
        <v>金数据收集4h</v>
      </c>
      <c r="H16" s="40">
        <f>VLOOKUP(G16,B2:E27,4,0)</f>
        <v>361</v>
      </c>
      <c r="I16" s="78">
        <f t="shared" si="12"/>
        <v>16850.67</v>
      </c>
      <c r="J16" s="78">
        <f t="shared" si="1"/>
        <v>0.0214234804906867</v>
      </c>
      <c r="K16" s="78">
        <f t="shared" si="2"/>
        <v>0.00714116016356224</v>
      </c>
      <c r="L16" s="78">
        <f t="shared" si="3"/>
        <v>0.923760496636272</v>
      </c>
      <c r="M16" s="78">
        <f t="shared" si="4"/>
        <v>0.0762395033637275</v>
      </c>
      <c r="N16" s="78">
        <f t="shared" si="5"/>
        <v>0.0542896319634932</v>
      </c>
      <c r="O16" s="78">
        <f t="shared" si="6"/>
        <v>0.00448061439493011</v>
      </c>
      <c r="P16" s="40">
        <f t="shared" si="13"/>
        <v>0.905570518350871</v>
      </c>
      <c r="Q16" s="40">
        <f>VLOOKUP(15,A2:C27,3,0)+'倾向-优先级表'!E12/60</f>
        <v>4</v>
      </c>
      <c r="R16" s="40">
        <f t="shared" si="7"/>
        <v>0.0179224575797204</v>
      </c>
      <c r="S16" s="40">
        <f t="shared" si="14"/>
        <v>8.96444756327839</v>
      </c>
      <c r="T16" s="40">
        <f t="shared" si="15"/>
        <v>13</v>
      </c>
      <c r="U16" s="40">
        <f t="shared" si="16"/>
        <v>0.257498837164103</v>
      </c>
      <c r="V16" s="40">
        <f t="shared" si="8"/>
        <v>0</v>
      </c>
      <c r="W16" s="103">
        <f t="shared" si="9"/>
        <v>0.00115375299647525</v>
      </c>
      <c r="X16" s="54">
        <f>VLOOKUP(G16,G33:L58,6,0)</f>
        <v>6000</v>
      </c>
      <c r="Y16" s="32">
        <f>VLOOKUP(G16,G33:L58,4,0)</f>
        <v>6173.76</v>
      </c>
      <c r="Z16" s="32">
        <f t="shared" si="10"/>
        <v>26.8836863695807</v>
      </c>
      <c r="AA16" s="55">
        <f t="shared" si="11"/>
        <v>27.6622379268437</v>
      </c>
      <c r="AB16" s="32"/>
      <c r="AC16" s="32"/>
      <c r="AD16" s="32"/>
      <c r="AE16" s="32"/>
    </row>
    <row r="17" ht="15.6" spans="1:31">
      <c r="A17" s="41">
        <f>数据表!H18</f>
        <v>2</v>
      </c>
      <c r="B17" s="42" t="s">
        <v>247</v>
      </c>
      <c r="C17" s="43">
        <v>0.5</v>
      </c>
      <c r="D17" s="44"/>
      <c r="E17" s="45">
        <f>D29*D13</f>
        <v>51.6</v>
      </c>
      <c r="F17" s="39">
        <v>16</v>
      </c>
      <c r="G17" s="40" t="str">
        <f>VLOOKUP(16,数据表!A1:B26,2,0)</f>
        <v>魔方解析1h</v>
      </c>
      <c r="H17" s="40">
        <f>VLOOKUP(G17,B2:E27,4,0)</f>
        <v>3995</v>
      </c>
      <c r="I17" s="78">
        <f t="shared" si="12"/>
        <v>16489.67</v>
      </c>
      <c r="J17" s="78">
        <f t="shared" si="1"/>
        <v>0.242272889633328</v>
      </c>
      <c r="K17" s="78">
        <f t="shared" si="2"/>
        <v>0.080757629877776</v>
      </c>
      <c r="L17" s="78">
        <f t="shared" si="3"/>
        <v>0.367619504638333</v>
      </c>
      <c r="M17" s="78">
        <f t="shared" si="4"/>
        <v>0.632380495361667</v>
      </c>
      <c r="N17" s="78">
        <f t="shared" si="5"/>
        <v>0.0199579276094168</v>
      </c>
      <c r="O17" s="78">
        <f t="shared" si="6"/>
        <v>0.0343317043540764</v>
      </c>
      <c r="P17" s="40">
        <f t="shared" si="13"/>
        <v>0.905570518350871</v>
      </c>
      <c r="Q17" s="40">
        <f>VLOOKUP(16,A2:C27,3,0)+'倾向-优先级表'!E12/60</f>
        <v>1</v>
      </c>
      <c r="R17" s="40">
        <f t="shared" si="7"/>
        <v>0.0343317043540764</v>
      </c>
      <c r="S17" s="40">
        <f t="shared" si="14"/>
        <v>8.96444756327839</v>
      </c>
      <c r="T17" s="40">
        <f t="shared" si="15"/>
        <v>13</v>
      </c>
      <c r="U17" s="40">
        <f t="shared" si="16"/>
        <v>0.257498837164103</v>
      </c>
      <c r="V17" s="40">
        <f t="shared" si="8"/>
        <v>0</v>
      </c>
      <c r="W17" s="103">
        <f t="shared" si="9"/>
        <v>0.00884037394903646</v>
      </c>
      <c r="X17" s="54">
        <f>VLOOKUP(G17,G33:L58,6,0)</f>
        <v>4500</v>
      </c>
      <c r="Y17" s="32">
        <f>VLOOKUP(G17,G33:L58,4,0)</f>
        <v>1991.84</v>
      </c>
      <c r="Z17" s="32">
        <f t="shared" si="10"/>
        <v>154.492669593344</v>
      </c>
      <c r="AA17" s="55">
        <f t="shared" si="11"/>
        <v>68.3832620006235</v>
      </c>
      <c r="AB17" s="32"/>
      <c r="AC17" s="32"/>
      <c r="AD17" s="32"/>
      <c r="AE17" s="32"/>
    </row>
    <row r="18" ht="15.6" spans="1:31">
      <c r="A18" s="41">
        <f>数据表!H19</f>
        <v>7</v>
      </c>
      <c r="B18" s="42" t="s">
        <v>248</v>
      </c>
      <c r="C18" s="43">
        <v>1.5</v>
      </c>
      <c r="D18" s="44">
        <v>3436</v>
      </c>
      <c r="E18" s="45">
        <f t="shared" ref="E18:E27" si="17">D18</f>
        <v>3436</v>
      </c>
      <c r="F18" s="39">
        <v>17</v>
      </c>
      <c r="G18" s="40" t="str">
        <f>VLOOKUP(17,数据表!A1:B26,2,0)</f>
        <v>研究委托3h</v>
      </c>
      <c r="H18" s="40">
        <f>VLOOKUP(G18,B2:E27,4,0)</f>
        <v>769</v>
      </c>
      <c r="I18" s="78">
        <f t="shared" si="12"/>
        <v>12494.67</v>
      </c>
      <c r="J18" s="78">
        <f t="shared" si="1"/>
        <v>0.0615462433181509</v>
      </c>
      <c r="K18" s="78">
        <f t="shared" si="2"/>
        <v>0.0205154144393836</v>
      </c>
      <c r="L18" s="78">
        <f t="shared" si="3"/>
        <v>0.79292816249412</v>
      </c>
      <c r="M18" s="78">
        <f t="shared" si="4"/>
        <v>0.20707183750588</v>
      </c>
      <c r="N18" s="78">
        <f t="shared" si="5"/>
        <v>0.0158252028665255</v>
      </c>
      <c r="O18" s="78">
        <f t="shared" si="6"/>
        <v>0.00413272474289127</v>
      </c>
      <c r="P18" s="40">
        <f t="shared" si="13"/>
        <v>0.905570518350871</v>
      </c>
      <c r="Q18" s="40">
        <f>VLOOKUP(17,A2:C27,3,0)+'倾向-优先级表'!E12/60</f>
        <v>3</v>
      </c>
      <c r="R18" s="40">
        <f t="shared" si="7"/>
        <v>0.0123981742286738</v>
      </c>
      <c r="S18" s="40">
        <f t="shared" si="14"/>
        <v>8.96444756327839</v>
      </c>
      <c r="T18" s="40">
        <f t="shared" si="15"/>
        <v>13</v>
      </c>
      <c r="U18" s="40">
        <f t="shared" si="16"/>
        <v>0.257498837164103</v>
      </c>
      <c r="V18" s="40">
        <f t="shared" si="8"/>
        <v>0</v>
      </c>
      <c r="W18" s="103">
        <f t="shared" si="9"/>
        <v>0.00106417181561382</v>
      </c>
      <c r="X18" s="54">
        <f>VLOOKUP(G18,G33:L58,6,0)</f>
        <v>4500</v>
      </c>
      <c r="Y18" s="32">
        <f>VLOOKUP(G18,G33:L58,4,0)</f>
        <v>1869.12</v>
      </c>
      <c r="Z18" s="32">
        <f t="shared" si="10"/>
        <v>18.5972613430107</v>
      </c>
      <c r="AA18" s="55">
        <f t="shared" si="11"/>
        <v>7.72455847143293</v>
      </c>
      <c r="AB18" s="32"/>
      <c r="AC18" s="32"/>
      <c r="AD18" s="32"/>
      <c r="AE18" s="32"/>
    </row>
    <row r="19" ht="15.6" spans="1:31">
      <c r="A19" s="41">
        <f>数据表!H20</f>
        <v>14</v>
      </c>
      <c r="B19" s="46" t="s">
        <v>249</v>
      </c>
      <c r="C19" s="43">
        <v>2.5</v>
      </c>
      <c r="D19" s="44">
        <v>2346</v>
      </c>
      <c r="E19" s="45">
        <f t="shared" si="17"/>
        <v>2346</v>
      </c>
      <c r="F19" s="39">
        <v>18</v>
      </c>
      <c r="G19" s="40" t="str">
        <f>VLOOKUP(18,数据表!A1:B26,2,0)</f>
        <v>彩船定向5h</v>
      </c>
      <c r="H19" s="40">
        <f>VLOOKUP(G19,B2:E27,4,0)</f>
        <v>1214.4</v>
      </c>
      <c r="I19" s="78">
        <f t="shared" si="12"/>
        <v>11725.67</v>
      </c>
      <c r="J19" s="78">
        <f t="shared" si="1"/>
        <v>0.103567642616584</v>
      </c>
      <c r="K19" s="78">
        <f t="shared" si="2"/>
        <v>0.0345225475388613</v>
      </c>
      <c r="L19" s="78">
        <f t="shared" si="3"/>
        <v>0.671485817925181</v>
      </c>
      <c r="M19" s="78">
        <f t="shared" si="4"/>
        <v>0.328514182074819</v>
      </c>
      <c r="N19" s="78">
        <f t="shared" si="5"/>
        <v>0.0106263992906608</v>
      </c>
      <c r="O19" s="78">
        <f t="shared" si="6"/>
        <v>0.00519880357586471</v>
      </c>
      <c r="P19" s="40">
        <f t="shared" si="13"/>
        <v>0.905570518350871</v>
      </c>
      <c r="Q19" s="40">
        <f>VLOOKUP(18,A2:C27,3,0)+'倾向-优先级表'!E12/60</f>
        <v>5</v>
      </c>
      <c r="R19" s="40">
        <f t="shared" si="7"/>
        <v>0.0259940178793236</v>
      </c>
      <c r="S19" s="40">
        <f t="shared" si="14"/>
        <v>8.96444756327839</v>
      </c>
      <c r="T19" s="40">
        <f t="shared" si="15"/>
        <v>13</v>
      </c>
      <c r="U19" s="40">
        <f t="shared" si="16"/>
        <v>0.257498837164103</v>
      </c>
      <c r="V19" s="40">
        <f t="shared" si="8"/>
        <v>0</v>
      </c>
      <c r="W19" s="103">
        <f t="shared" si="9"/>
        <v>0.00133868587542975</v>
      </c>
      <c r="X19" s="54">
        <f>VLOOKUP(G19,G33:L58,6,0)</f>
        <v>7500</v>
      </c>
      <c r="Y19" s="32">
        <f>VLOOKUP(G19,G33:L58,4,0)</f>
        <v>5239.2</v>
      </c>
      <c r="Z19" s="32">
        <f t="shared" si="10"/>
        <v>38.9910268189853</v>
      </c>
      <c r="AA19" s="55">
        <f t="shared" si="11"/>
        <v>27.2375716946704</v>
      </c>
      <c r="AB19" s="32"/>
      <c r="AC19" s="32"/>
      <c r="AD19" s="32"/>
      <c r="AE19" s="32"/>
    </row>
    <row r="20" ht="15.6" spans="1:31">
      <c r="A20" s="41">
        <f>数据表!H21</f>
        <v>8</v>
      </c>
      <c r="B20" s="42" t="s">
        <v>250</v>
      </c>
      <c r="C20" s="43">
        <v>4</v>
      </c>
      <c r="D20" s="44">
        <v>1793</v>
      </c>
      <c r="E20" s="45">
        <f t="shared" si="17"/>
        <v>1793</v>
      </c>
      <c r="F20" s="39">
        <v>19</v>
      </c>
      <c r="G20" s="40" t="str">
        <f>VLOOKUP(19,数据表!A1:B26,2,0)</f>
        <v>金船定向5h</v>
      </c>
      <c r="H20" s="40">
        <f>VLOOKUP(G20,B2:E27,4,0)</f>
        <v>1821.6</v>
      </c>
      <c r="I20" s="78">
        <f t="shared" si="12"/>
        <v>10511.27</v>
      </c>
      <c r="J20" s="78">
        <f t="shared" si="1"/>
        <v>0.173299705934678</v>
      </c>
      <c r="K20" s="78">
        <f t="shared" si="2"/>
        <v>0.0577665686448926</v>
      </c>
      <c r="L20" s="78">
        <f t="shared" si="3"/>
        <v>0.501604351091206</v>
      </c>
      <c r="M20" s="78">
        <f t="shared" si="4"/>
        <v>0.498395648908794</v>
      </c>
      <c r="N20" s="78">
        <f t="shared" si="5"/>
        <v>0.00533024812062797</v>
      </c>
      <c r="O20" s="78">
        <f t="shared" si="6"/>
        <v>0.00529615117003283</v>
      </c>
      <c r="P20" s="40">
        <f t="shared" si="13"/>
        <v>0.905570518350871</v>
      </c>
      <c r="Q20" s="40">
        <f>VLOOKUP(19,A2:C27,3,0)+'倾向-优先级表'!E12/60</f>
        <v>5</v>
      </c>
      <c r="R20" s="40">
        <f t="shared" si="7"/>
        <v>0.0264807558501642</v>
      </c>
      <c r="S20" s="40">
        <f t="shared" si="14"/>
        <v>8.96444756327839</v>
      </c>
      <c r="T20" s="40">
        <f t="shared" si="15"/>
        <v>13</v>
      </c>
      <c r="U20" s="40">
        <f t="shared" si="16"/>
        <v>0.257498837164103</v>
      </c>
      <c r="V20" s="40">
        <f t="shared" si="8"/>
        <v>0</v>
      </c>
      <c r="W20" s="103">
        <f t="shared" si="9"/>
        <v>0.00136375276772876</v>
      </c>
      <c r="X20" s="54">
        <f>VLOOKUP(G20,G33:L58,6,0)</f>
        <v>7500</v>
      </c>
      <c r="Y20" s="32">
        <f>VLOOKUP(G20,G33:L58,4,0)</f>
        <v>4602</v>
      </c>
      <c r="Z20" s="32">
        <f t="shared" si="10"/>
        <v>39.7211337752462</v>
      </c>
      <c r="AA20" s="55">
        <f t="shared" si="11"/>
        <v>24.3728876844911</v>
      </c>
      <c r="AB20" s="32"/>
      <c r="AC20" s="32"/>
      <c r="AD20" s="32"/>
      <c r="AE20" s="32"/>
    </row>
    <row r="21" ht="15.6" spans="1:31">
      <c r="A21" s="41">
        <f>数据表!H22</f>
        <v>12</v>
      </c>
      <c r="B21" s="42" t="s">
        <v>252</v>
      </c>
      <c r="C21" s="43">
        <v>2</v>
      </c>
      <c r="D21" s="44">
        <v>709</v>
      </c>
      <c r="E21" s="45">
        <f t="shared" si="17"/>
        <v>709</v>
      </c>
      <c r="F21" s="39">
        <v>20</v>
      </c>
      <c r="G21" s="40" t="str">
        <f>VLOOKUP(20,数据表!A1:B26,2,0)</f>
        <v>基础研究6h</v>
      </c>
      <c r="H21" s="40">
        <f>VLOOKUP(G21,B2:E27,4,0)</f>
        <v>1757</v>
      </c>
      <c r="I21" s="78">
        <f t="shared" si="12"/>
        <v>8689.67</v>
      </c>
      <c r="J21" s="78">
        <f t="shared" si="1"/>
        <v>0.202194099430703</v>
      </c>
      <c r="K21" s="78">
        <f t="shared" si="2"/>
        <v>0.0673980331435678</v>
      </c>
      <c r="L21" s="78">
        <f t="shared" si="3"/>
        <v>0.441656255625672</v>
      </c>
      <c r="M21" s="78">
        <f t="shared" si="4"/>
        <v>0.558343744374328</v>
      </c>
      <c r="N21" s="78">
        <f t="shared" si="5"/>
        <v>0.00235413742651232</v>
      </c>
      <c r="O21" s="78">
        <f t="shared" si="6"/>
        <v>0.00297611069411564</v>
      </c>
      <c r="P21" s="40">
        <f t="shared" si="13"/>
        <v>0.905570518350871</v>
      </c>
      <c r="Q21" s="40">
        <f>VLOOKUP(20,A2:C27,3,0)+'倾向-优先级表'!E12/60</f>
        <v>6</v>
      </c>
      <c r="R21" s="40">
        <f t="shared" si="7"/>
        <v>0.0178566641646939</v>
      </c>
      <c r="S21" s="40">
        <f t="shared" si="14"/>
        <v>8.96444756327839</v>
      </c>
      <c r="T21" s="40">
        <f t="shared" si="15"/>
        <v>13</v>
      </c>
      <c r="U21" s="40">
        <f t="shared" si="16"/>
        <v>0.257498837164103</v>
      </c>
      <c r="V21" s="40">
        <f t="shared" si="8"/>
        <v>0</v>
      </c>
      <c r="W21" s="103">
        <f t="shared" si="9"/>
        <v>0.00076634504300643</v>
      </c>
      <c r="X21" s="54">
        <f>VLOOKUP(G21,G33:L58,6,0)</f>
        <v>9000</v>
      </c>
      <c r="Y21" s="32">
        <f>VLOOKUP(G21,G33:L58,4,0)</f>
        <v>4078.08</v>
      </c>
      <c r="Z21" s="32">
        <f t="shared" si="10"/>
        <v>26.7849962470408</v>
      </c>
      <c r="AA21" s="55">
        <f t="shared" si="11"/>
        <v>12.1368174994591</v>
      </c>
      <c r="AB21" s="32"/>
      <c r="AC21" s="32"/>
      <c r="AD21" s="32"/>
      <c r="AE21" s="32"/>
    </row>
    <row r="22" ht="15.6" spans="1:31">
      <c r="A22" s="41">
        <f>数据表!H23</f>
        <v>9</v>
      </c>
      <c r="B22" s="42" t="s">
        <v>253</v>
      </c>
      <c r="C22" s="43">
        <v>2</v>
      </c>
      <c r="D22" s="44">
        <v>482</v>
      </c>
      <c r="E22" s="45">
        <f t="shared" si="17"/>
        <v>482</v>
      </c>
      <c r="F22" s="39">
        <v>21</v>
      </c>
      <c r="G22" s="40" t="str">
        <f>VLOOKUP(21,数据表!A1:B26,2,0)</f>
        <v>彩船定向8h</v>
      </c>
      <c r="H22" s="40">
        <f>VLOOKUP(G22,B2:E27,4,0)</f>
        <v>286.4</v>
      </c>
      <c r="I22" s="78">
        <f t="shared" si="12"/>
        <v>6932.67</v>
      </c>
      <c r="J22" s="78">
        <f t="shared" si="1"/>
        <v>0.0413116447198554</v>
      </c>
      <c r="K22" s="78">
        <f t="shared" si="2"/>
        <v>0.0137705482399518</v>
      </c>
      <c r="L22" s="78">
        <f t="shared" si="3"/>
        <v>0.857014741262527</v>
      </c>
      <c r="M22" s="78">
        <f t="shared" si="4"/>
        <v>0.142985258737473</v>
      </c>
      <c r="N22" s="78">
        <f t="shared" si="5"/>
        <v>0.00201753047747889</v>
      </c>
      <c r="O22" s="78">
        <f t="shared" si="6"/>
        <v>0.000336606949033433</v>
      </c>
      <c r="P22" s="40">
        <f t="shared" si="13"/>
        <v>0.905570518350871</v>
      </c>
      <c r="Q22" s="40">
        <f>VLOOKUP(21,A2:C27,3,0)+'倾向-优先级表'!E12/60</f>
        <v>8</v>
      </c>
      <c r="R22" s="40">
        <f t="shared" si="7"/>
        <v>0.00269285559226747</v>
      </c>
      <c r="S22" s="40">
        <f t="shared" si="14"/>
        <v>8.96444756327839</v>
      </c>
      <c r="T22" s="40">
        <f t="shared" si="15"/>
        <v>13</v>
      </c>
      <c r="U22" s="40">
        <f t="shared" si="16"/>
        <v>0.257498837164103</v>
      </c>
      <c r="V22" s="40">
        <f t="shared" si="8"/>
        <v>0</v>
      </c>
      <c r="W22" s="103">
        <f t="shared" si="9"/>
        <v>8.66758979574656e-5</v>
      </c>
      <c r="X22" s="54">
        <f>VLOOKUP(G22,G33:L58,6,0)</f>
        <v>12000</v>
      </c>
      <c r="Y22" s="32">
        <f>VLOOKUP(G22,G33:L58,4,0)</f>
        <v>8835.84</v>
      </c>
      <c r="Z22" s="32">
        <f t="shared" si="10"/>
        <v>4.0392833884012</v>
      </c>
      <c r="AA22" s="55">
        <f t="shared" si="11"/>
        <v>2.97420514454757</v>
      </c>
      <c r="AB22" s="32"/>
      <c r="AC22" s="32"/>
      <c r="AD22" s="32"/>
      <c r="AE22" s="32"/>
    </row>
    <row r="23" ht="15.6" spans="1:31">
      <c r="A23" s="41">
        <f>数据表!H24</f>
        <v>15</v>
      </c>
      <c r="B23" s="42" t="s">
        <v>254</v>
      </c>
      <c r="C23" s="43">
        <v>4</v>
      </c>
      <c r="D23" s="44">
        <v>361</v>
      </c>
      <c r="E23" s="45">
        <f t="shared" si="17"/>
        <v>361</v>
      </c>
      <c r="F23" s="39">
        <v>22</v>
      </c>
      <c r="G23" s="40" t="str">
        <f>VLOOKUP(22,数据表!A1:B26,2,0)</f>
        <v>金船定向8h</v>
      </c>
      <c r="H23" s="40">
        <f>VLOOKUP(G23,B2:E27,4,0)</f>
        <v>429.6</v>
      </c>
      <c r="I23" s="78">
        <f t="shared" si="12"/>
        <v>6646.27</v>
      </c>
      <c r="J23" s="78">
        <f t="shared" si="1"/>
        <v>0.0646377592243469</v>
      </c>
      <c r="K23" s="78">
        <f t="shared" si="2"/>
        <v>0.021545919741449</v>
      </c>
      <c r="L23" s="78">
        <f t="shared" si="3"/>
        <v>0.783466442610791</v>
      </c>
      <c r="M23" s="78">
        <f t="shared" si="4"/>
        <v>0.216533557389209</v>
      </c>
      <c r="N23" s="78">
        <f t="shared" si="5"/>
        <v>0.00158066742604924</v>
      </c>
      <c r="O23" s="78">
        <f t="shared" si="6"/>
        <v>0.000436863051429653</v>
      </c>
      <c r="P23" s="40">
        <f t="shared" si="13"/>
        <v>0.905570518350871</v>
      </c>
      <c r="Q23" s="40">
        <f>VLOOKUP(22,A2:C27,3,0)+'倾向-优先级表'!E12/60</f>
        <v>8</v>
      </c>
      <c r="R23" s="40">
        <f t="shared" si="7"/>
        <v>0.00349490441143722</v>
      </c>
      <c r="S23" s="40">
        <f t="shared" si="14"/>
        <v>8.96444756327839</v>
      </c>
      <c r="T23" s="40">
        <f t="shared" si="15"/>
        <v>13</v>
      </c>
      <c r="U23" s="40">
        <f t="shared" si="16"/>
        <v>0.257498837164103</v>
      </c>
      <c r="V23" s="40">
        <f t="shared" si="8"/>
        <v>0</v>
      </c>
      <c r="W23" s="103">
        <f t="shared" si="9"/>
        <v>0.000112491727743098</v>
      </c>
      <c r="X23" s="54">
        <f>VLOOKUP(G23,G33:L58,6,0)</f>
        <v>12000</v>
      </c>
      <c r="Y23" s="32">
        <f>VLOOKUP(G23,G33:L58,4,0)</f>
        <v>7816.32</v>
      </c>
      <c r="Z23" s="32">
        <f t="shared" si="10"/>
        <v>5.24235661715584</v>
      </c>
      <c r="AA23" s="55">
        <f t="shared" si="11"/>
        <v>3.41466140615063</v>
      </c>
      <c r="AB23" s="32"/>
      <c r="AC23" s="32"/>
      <c r="AD23" s="32"/>
      <c r="AE23" s="32"/>
    </row>
    <row r="24" ht="15.6" spans="1:31">
      <c r="A24" s="41">
        <f>数据表!H25</f>
        <v>20</v>
      </c>
      <c r="B24" s="42" t="s">
        <v>256</v>
      </c>
      <c r="C24" s="43">
        <v>6</v>
      </c>
      <c r="D24" s="44">
        <v>1757</v>
      </c>
      <c r="E24" s="45">
        <f t="shared" si="17"/>
        <v>1757</v>
      </c>
      <c r="F24" s="39">
        <v>23</v>
      </c>
      <c r="G24" s="40" t="str">
        <f>VLOOKUP(23,数据表!A1:B26,2,0)</f>
        <v>魔方解析2h</v>
      </c>
      <c r="H24" s="40">
        <f>VLOOKUP(G24,B2:E27,4,0)</f>
        <v>2649</v>
      </c>
      <c r="I24" s="78">
        <f t="shared" si="12"/>
        <v>6216.67</v>
      </c>
      <c r="J24" s="78">
        <f t="shared" si="1"/>
        <v>0.426112372057709</v>
      </c>
      <c r="K24" s="78">
        <f t="shared" si="2"/>
        <v>0.14203745735257</v>
      </c>
      <c r="L24" s="78">
        <f t="shared" si="3"/>
        <v>0.139128864866281</v>
      </c>
      <c r="M24" s="78">
        <f t="shared" si="4"/>
        <v>0.860871135133719</v>
      </c>
      <c r="N24" s="78">
        <f t="shared" si="5"/>
        <v>0.000219916464717336</v>
      </c>
      <c r="O24" s="78">
        <f t="shared" si="6"/>
        <v>0.0013607509613319</v>
      </c>
      <c r="P24" s="40">
        <f t="shared" si="13"/>
        <v>0.905570518350871</v>
      </c>
      <c r="Q24" s="40">
        <f>VLOOKUP(23,A2:C27,3,0)+'倾向-优先级表'!E12/60</f>
        <v>2</v>
      </c>
      <c r="R24" s="40">
        <f t="shared" si="7"/>
        <v>0.0027215019226638</v>
      </c>
      <c r="S24" s="40">
        <f t="shared" si="14"/>
        <v>8.96444756327839</v>
      </c>
      <c r="T24" s="40">
        <f t="shared" si="15"/>
        <v>13</v>
      </c>
      <c r="U24" s="40">
        <f t="shared" si="16"/>
        <v>0.257498837164103</v>
      </c>
      <c r="V24" s="40">
        <f t="shared" si="8"/>
        <v>0</v>
      </c>
      <c r="W24" s="103">
        <f t="shared" si="9"/>
        <v>0.0003503917902129</v>
      </c>
      <c r="X24" s="54">
        <f>VLOOKUP(G24,G33:L58,6,0)</f>
        <v>9000</v>
      </c>
      <c r="Y24" s="32">
        <f>VLOOKUP(G24,G33:L58,4,0)</f>
        <v>2869.76</v>
      </c>
      <c r="Z24" s="32">
        <f t="shared" si="10"/>
        <v>12.2467586519871</v>
      </c>
      <c r="AA24" s="55">
        <f t="shared" si="11"/>
        <v>3.90502867879183</v>
      </c>
      <c r="AB24" s="32"/>
      <c r="AC24" s="32"/>
      <c r="AD24" s="32"/>
      <c r="AE24" s="32"/>
    </row>
    <row r="25" ht="15.6" spans="1:31">
      <c r="A25" s="41">
        <f>数据表!H26</f>
        <v>24</v>
      </c>
      <c r="B25" s="42" t="s">
        <v>257</v>
      </c>
      <c r="C25" s="43">
        <v>8</v>
      </c>
      <c r="D25" s="44">
        <v>1244</v>
      </c>
      <c r="E25" s="45">
        <f t="shared" si="17"/>
        <v>1244</v>
      </c>
      <c r="F25" s="39">
        <v>24</v>
      </c>
      <c r="G25" s="40" t="str">
        <f>VLOOKUP(24,数据表!A1:B26,2,0)</f>
        <v>基础研究8h</v>
      </c>
      <c r="H25" s="40">
        <f>VLOOKUP(G25,B2:E27,4,0)</f>
        <v>1244</v>
      </c>
      <c r="I25" s="78">
        <f t="shared" si="12"/>
        <v>3567.67</v>
      </c>
      <c r="J25" s="78">
        <f t="shared" si="1"/>
        <v>0.348686958154762</v>
      </c>
      <c r="K25" s="78">
        <f t="shared" si="2"/>
        <v>0.116228986051587</v>
      </c>
      <c r="L25" s="78">
        <f t="shared" si="3"/>
        <v>0.215798703146027</v>
      </c>
      <c r="M25" s="78">
        <f t="shared" si="4"/>
        <v>0.784201296853973</v>
      </c>
      <c r="N25" s="78">
        <f t="shared" si="5"/>
        <v>4.74576878864602e-5</v>
      </c>
      <c r="O25" s="78">
        <f t="shared" si="6"/>
        <v>0.000172458776830876</v>
      </c>
      <c r="P25" s="40">
        <f t="shared" si="13"/>
        <v>0.905570518350871</v>
      </c>
      <c r="Q25" s="40">
        <f>VLOOKUP(24,A2:C27,3,0)+'倾向-优先级表'!E12/60</f>
        <v>8</v>
      </c>
      <c r="R25" s="40">
        <f t="shared" si="7"/>
        <v>0.00137967021464701</v>
      </c>
      <c r="S25" s="40">
        <f t="shared" si="14"/>
        <v>8.96444756327839</v>
      </c>
      <c r="T25" s="40">
        <f t="shared" si="15"/>
        <v>13</v>
      </c>
      <c r="U25" s="40">
        <f t="shared" si="16"/>
        <v>0.257498837164103</v>
      </c>
      <c r="V25" s="40">
        <f t="shared" si="8"/>
        <v>0</v>
      </c>
      <c r="W25" s="103">
        <f t="shared" si="9"/>
        <v>4.44079344926942e-5</v>
      </c>
      <c r="X25" s="54">
        <f>VLOOKUP(G25,G33:L58,6,0)</f>
        <v>12000</v>
      </c>
      <c r="Y25" s="32">
        <f>VLOOKUP(G25,G33:L58,4,0)</f>
        <v>5324.16</v>
      </c>
      <c r="Z25" s="32">
        <f t="shared" si="10"/>
        <v>2.06950532197051</v>
      </c>
      <c r="AA25" s="55">
        <f t="shared" si="11"/>
        <v>0.918198121251877</v>
      </c>
      <c r="AB25" s="32"/>
      <c r="AC25" s="32"/>
      <c r="AD25" s="32"/>
      <c r="AE25" s="32"/>
    </row>
    <row r="26" ht="15.6" spans="1:31">
      <c r="A26" s="41">
        <f>数据表!H27</f>
        <v>26</v>
      </c>
      <c r="B26" s="42" t="s">
        <v>259</v>
      </c>
      <c r="C26" s="43">
        <v>12</v>
      </c>
      <c r="D26" s="44">
        <v>452</v>
      </c>
      <c r="E26" s="45">
        <f t="shared" si="17"/>
        <v>452</v>
      </c>
      <c r="F26" s="39">
        <v>25</v>
      </c>
      <c r="G26" s="40" t="str">
        <f>VLOOKUP(25,数据表!A1:B26,2,0)</f>
        <v>魔方解析4h</v>
      </c>
      <c r="H26" s="40">
        <f>VLOOKUP(G26,B2:E27,4,0)</f>
        <v>591</v>
      </c>
      <c r="I26" s="78">
        <f t="shared" si="12"/>
        <v>2323.67</v>
      </c>
      <c r="J26" s="78">
        <f t="shared" si="1"/>
        <v>0.25433904125801</v>
      </c>
      <c r="K26" s="78">
        <f t="shared" si="2"/>
        <v>0.0847796804193367</v>
      </c>
      <c r="L26" s="78">
        <f t="shared" si="3"/>
        <v>0.34727660101802</v>
      </c>
      <c r="M26" s="78">
        <f t="shared" si="4"/>
        <v>0.65272339898198</v>
      </c>
      <c r="N26" s="78">
        <f t="shared" si="5"/>
        <v>1.6480944541384e-5</v>
      </c>
      <c r="O26" s="78">
        <f t="shared" si="6"/>
        <v>3.09767433450763e-5</v>
      </c>
      <c r="P26" s="40">
        <f t="shared" si="13"/>
        <v>0.905570518350871</v>
      </c>
      <c r="Q26" s="40">
        <f>VLOOKUP(25,A2:C27,3,0)+'倾向-优先级表'!E12/60</f>
        <v>4</v>
      </c>
      <c r="R26" s="40">
        <f t="shared" si="7"/>
        <v>0.000123906973380305</v>
      </c>
      <c r="S26" s="40">
        <f t="shared" si="14"/>
        <v>8.96444756327839</v>
      </c>
      <c r="T26" s="40">
        <f t="shared" si="15"/>
        <v>13</v>
      </c>
      <c r="U26" s="40">
        <f t="shared" si="16"/>
        <v>0.257498837164103</v>
      </c>
      <c r="V26" s="40">
        <f t="shared" si="8"/>
        <v>0</v>
      </c>
      <c r="W26" s="103">
        <f t="shared" si="9"/>
        <v>7.97647539048803e-6</v>
      </c>
      <c r="X26" s="54">
        <f>VLOOKUP(G26,G33:L58,6,0)</f>
        <v>16000</v>
      </c>
      <c r="Y26" s="32">
        <f>VLOOKUP(G26,G33:L58,4,0)</f>
        <v>3804.32</v>
      </c>
      <c r="Z26" s="32">
        <f t="shared" si="10"/>
        <v>0.495627893521221</v>
      </c>
      <c r="AA26" s="55">
        <f t="shared" si="11"/>
        <v>0.117845444242541</v>
      </c>
      <c r="AB26" s="32"/>
      <c r="AC26" s="32"/>
      <c r="AD26" s="32"/>
      <c r="AE26" s="32"/>
    </row>
    <row r="27" ht="16.35" spans="1:31">
      <c r="A27" s="47">
        <f>数据表!H28</f>
        <v>17</v>
      </c>
      <c r="B27" s="48" t="s">
        <v>261</v>
      </c>
      <c r="C27" s="49">
        <v>3</v>
      </c>
      <c r="D27" s="50">
        <v>769</v>
      </c>
      <c r="E27" s="51">
        <f t="shared" si="17"/>
        <v>769</v>
      </c>
      <c r="F27" s="52">
        <v>26</v>
      </c>
      <c r="G27" s="53" t="str">
        <f>VLOOKUP(26,数据表!A1:B26,2,0)</f>
        <v>基础研究12h</v>
      </c>
      <c r="H27" s="53">
        <f>VLOOKUP(G27,B2:E27,4,0)</f>
        <v>452</v>
      </c>
      <c r="I27" s="79">
        <f t="shared" si="12"/>
        <v>1732.67</v>
      </c>
      <c r="J27" s="79">
        <f t="shared" si="1"/>
        <v>0.260869063353091</v>
      </c>
      <c r="K27" s="79">
        <f t="shared" si="2"/>
        <v>0.0869563544510304</v>
      </c>
      <c r="L27" s="79">
        <f t="shared" si="3"/>
        <v>0.336625659529348</v>
      </c>
      <c r="M27" s="79">
        <f t="shared" si="4"/>
        <v>0.663374340470652</v>
      </c>
      <c r="N27" s="79">
        <f t="shared" si="5"/>
        <v>5.54790882590999e-6</v>
      </c>
      <c r="O27" s="79">
        <f t="shared" si="6"/>
        <v>1.0933035715474e-5</v>
      </c>
      <c r="P27" s="53">
        <f t="shared" si="13"/>
        <v>0.905570518350871</v>
      </c>
      <c r="Q27" s="53">
        <f>VLOOKUP(26,A2:C27,3,0)+'倾向-优先级表'!E12/60</f>
        <v>12</v>
      </c>
      <c r="R27" s="53">
        <f t="shared" si="7"/>
        <v>0.000131196428585688</v>
      </c>
      <c r="S27" s="53">
        <f t="shared" si="14"/>
        <v>8.96444756327839</v>
      </c>
      <c r="T27" s="53">
        <f t="shared" si="15"/>
        <v>13</v>
      </c>
      <c r="U27" s="53">
        <f t="shared" si="16"/>
        <v>0.257498837164103</v>
      </c>
      <c r="V27" s="53">
        <f t="shared" si="8"/>
        <v>0</v>
      </c>
      <c r="W27" s="104">
        <f t="shared" si="9"/>
        <v>2.81524398340817e-6</v>
      </c>
      <c r="X27" s="56">
        <f>VLOOKUP(G27,G33:L58,6,0)</f>
        <v>18000</v>
      </c>
      <c r="Y27" s="57">
        <f>VLOOKUP(G27,G33:L58,4,0)</f>
        <v>6740.16</v>
      </c>
      <c r="Z27" s="57">
        <f t="shared" si="10"/>
        <v>0.196794642878532</v>
      </c>
      <c r="AA27" s="112">
        <f t="shared" si="11"/>
        <v>0.0736904100080092</v>
      </c>
      <c r="AB27" s="32"/>
      <c r="AC27" s="32"/>
      <c r="AD27" s="32"/>
      <c r="AE27" s="32"/>
    </row>
    <row r="28" spans="1:31">
      <c r="A28" s="54" t="s">
        <v>319</v>
      </c>
      <c r="B28" s="32">
        <f>IF(D30=5,3,3-'倾向-优先级表'!E8)</f>
        <v>3</v>
      </c>
      <c r="C28" s="32">
        <f>SUM(D2:D27)</f>
        <v>35386</v>
      </c>
      <c r="D28" s="32">
        <f>B28/C29</f>
        <v>0.6</v>
      </c>
      <c r="E28" s="55">
        <f>B28/C30</f>
        <v>0.214285714285714</v>
      </c>
      <c r="G28" s="32"/>
      <c r="H28" s="32"/>
      <c r="I28" s="32"/>
      <c r="J28" s="32"/>
      <c r="K28" s="32"/>
      <c r="L28" s="32"/>
      <c r="M28" s="32"/>
      <c r="N28" s="32"/>
      <c r="O28" s="32"/>
      <c r="P28" s="32"/>
      <c r="Q28" s="105" t="s">
        <v>320</v>
      </c>
      <c r="R28" s="106">
        <f>SUM(R2:R27)</f>
        <v>1.98686940318704</v>
      </c>
      <c r="S28" s="106" t="s">
        <v>321</v>
      </c>
      <c r="T28" s="106">
        <f>P27^R29</f>
        <v>0.410990700492927</v>
      </c>
      <c r="U28" s="106" t="s">
        <v>322</v>
      </c>
      <c r="V28" s="107">
        <f>IF((T29+T28-1)&gt;1,1,(T29+T28-1))</f>
        <v>0.257498837164103</v>
      </c>
      <c r="W28" s="32"/>
      <c r="X28" s="32"/>
      <c r="Y28" s="32"/>
      <c r="Z28" s="32">
        <f>SUM(Z2:Z27)</f>
        <v>3157.69536030865</v>
      </c>
      <c r="AA28" s="32">
        <f>SUM(AA2:AA27)</f>
        <v>5019.66386308389</v>
      </c>
      <c r="AB28" s="32">
        <f>100*AA28/Z28</f>
        <v>158.966058796541</v>
      </c>
      <c r="AC28" s="32"/>
      <c r="AD28" s="32"/>
      <c r="AE28" s="32"/>
    </row>
    <row r="29" ht="15.15" spans="1:31">
      <c r="A29" s="54" t="s">
        <v>323</v>
      </c>
      <c r="B29" s="32">
        <f>IF(D30=5,2,2-'倾向-优先级表'!H8)</f>
        <v>2</v>
      </c>
      <c r="C29" s="32">
        <f>B28+B29</f>
        <v>5</v>
      </c>
      <c r="D29" s="32">
        <f>B29/C29</f>
        <v>0.4</v>
      </c>
      <c r="E29" s="55">
        <f>B29/C30</f>
        <v>0.142857142857143</v>
      </c>
      <c r="F29" s="32"/>
      <c r="G29" s="32"/>
      <c r="H29" s="32"/>
      <c r="I29" s="32"/>
      <c r="J29" s="32"/>
      <c r="K29" s="32"/>
      <c r="L29" s="32"/>
      <c r="M29" s="32"/>
      <c r="N29" s="32"/>
      <c r="O29" s="32"/>
      <c r="P29" s="32"/>
      <c r="Q29" s="56" t="s">
        <v>324</v>
      </c>
      <c r="R29" s="57">
        <f>(24-夜晚模拟!R28)/R28</f>
        <v>8.96444756327839</v>
      </c>
      <c r="S29" s="57" t="s">
        <v>325</v>
      </c>
      <c r="T29" s="57">
        <f>R29*(1-P2)</f>
        <v>0.846508136671176</v>
      </c>
      <c r="U29" s="100"/>
      <c r="V29" s="101"/>
      <c r="W29" s="32"/>
      <c r="X29" s="32"/>
      <c r="Y29" s="32"/>
      <c r="Z29" s="32"/>
      <c r="AA29" s="32"/>
      <c r="AB29" s="32"/>
      <c r="AC29" s="32"/>
      <c r="AD29" s="32"/>
      <c r="AE29" s="32"/>
    </row>
    <row r="30" ht="15.15" spans="1:31">
      <c r="A30" s="56" t="s">
        <v>326</v>
      </c>
      <c r="B30" s="57">
        <f>IF(('倾向-优先级表'!L8+B28+B29)=16,11,11-'倾向-优先级表'!L8)</f>
        <v>9</v>
      </c>
      <c r="C30" s="57">
        <f>SUM(B28:B30)</f>
        <v>14</v>
      </c>
      <c r="D30" s="57">
        <f>'倾向-优先级表'!E8+'倾向-优先级表'!H8</f>
        <v>5</v>
      </c>
      <c r="E30" s="58"/>
      <c r="F30" s="32"/>
      <c r="G30" s="32"/>
      <c r="H30" s="32"/>
      <c r="I30" s="32"/>
      <c r="J30" s="32"/>
      <c r="K30" s="32"/>
      <c r="L30" s="32"/>
      <c r="M30" s="32"/>
      <c r="N30" s="32"/>
      <c r="O30" s="32"/>
      <c r="P30" s="32"/>
      <c r="Q30" s="32"/>
      <c r="R30" s="32"/>
      <c r="U30" s="32"/>
      <c r="V30" s="32"/>
      <c r="W30" s="32"/>
      <c r="X30" s="32"/>
      <c r="Y30" s="32"/>
      <c r="Z30" s="32"/>
      <c r="AA30" s="32"/>
      <c r="AB30" s="32"/>
      <c r="AC30" s="32"/>
      <c r="AD30" s="32"/>
      <c r="AE30" s="32"/>
    </row>
    <row r="31" ht="15.6" spans="1:31">
      <c r="A31" s="32"/>
      <c r="B31" s="32"/>
      <c r="C31" s="32"/>
      <c r="D31" s="32"/>
      <c r="E31" s="32"/>
      <c r="F31" s="32"/>
      <c r="G31" s="59" t="s">
        <v>102</v>
      </c>
      <c r="H31" s="60"/>
      <c r="I31" s="80" t="s">
        <v>327</v>
      </c>
      <c r="J31" s="80" t="s">
        <v>316</v>
      </c>
      <c r="K31" s="80" t="s">
        <v>328</v>
      </c>
      <c r="L31" s="81" t="s">
        <v>315</v>
      </c>
      <c r="M31" s="64" t="s">
        <v>329</v>
      </c>
      <c r="N31" s="59" t="s">
        <v>216</v>
      </c>
      <c r="O31" s="60"/>
      <c r="P31" s="60"/>
      <c r="Q31" s="60"/>
      <c r="R31" s="60"/>
      <c r="S31" s="108" t="s">
        <v>330</v>
      </c>
      <c r="T31" s="109"/>
      <c r="U31" s="109"/>
      <c r="V31" s="109"/>
      <c r="W31" s="110"/>
      <c r="X31" s="34" t="s">
        <v>331</v>
      </c>
      <c r="Y31" s="34" t="s">
        <v>332</v>
      </c>
      <c r="Z31" s="80" t="s">
        <v>333</v>
      </c>
      <c r="AA31" s="80"/>
      <c r="AB31" s="113" t="s">
        <v>334</v>
      </c>
      <c r="AC31" s="114"/>
      <c r="AD31" s="32"/>
      <c r="AE31" s="32"/>
    </row>
    <row r="32" ht="16.35" spans="1:30">
      <c r="A32" s="32"/>
      <c r="B32" s="32"/>
      <c r="C32" s="32"/>
      <c r="D32" s="32"/>
      <c r="E32" s="32"/>
      <c r="F32" s="32"/>
      <c r="G32" s="117" t="s">
        <v>219</v>
      </c>
      <c r="H32" s="118" t="s">
        <v>220</v>
      </c>
      <c r="I32" s="121"/>
      <c r="J32" s="121"/>
      <c r="K32" s="121"/>
      <c r="L32" s="122"/>
      <c r="M32" s="88"/>
      <c r="N32" s="117" t="s">
        <v>73</v>
      </c>
      <c r="O32" s="118" t="s">
        <v>78</v>
      </c>
      <c r="P32" s="118" t="s">
        <v>89</v>
      </c>
      <c r="Q32" s="135" t="s">
        <v>335</v>
      </c>
      <c r="R32" s="87" t="s">
        <v>120</v>
      </c>
      <c r="S32" s="118" t="s">
        <v>73</v>
      </c>
      <c r="T32" s="118" t="s">
        <v>78</v>
      </c>
      <c r="U32" s="118" t="s">
        <v>89</v>
      </c>
      <c r="V32" s="87" t="s">
        <v>335</v>
      </c>
      <c r="W32" s="87" t="s">
        <v>120</v>
      </c>
      <c r="X32" s="87"/>
      <c r="Y32" s="87"/>
      <c r="Z32" s="118" t="s">
        <v>119</v>
      </c>
      <c r="AA32" s="118" t="s">
        <v>118</v>
      </c>
      <c r="AB32" s="87" t="s">
        <v>119</v>
      </c>
      <c r="AC32" s="137" t="s">
        <v>118</v>
      </c>
      <c r="AD32" s="32"/>
    </row>
    <row r="33" ht="15.6" spans="1:29">
      <c r="A33" s="32"/>
      <c r="B33" s="32"/>
      <c r="C33" s="32"/>
      <c r="D33" s="32"/>
      <c r="E33" s="32"/>
      <c r="F33" s="32"/>
      <c r="G33" s="33" t="s">
        <v>212</v>
      </c>
      <c r="H33" s="36">
        <v>1</v>
      </c>
      <c r="I33" s="34">
        <f>VLOOKUP(G33,G2:W27,17,0)</f>
        <v>0.00884037394903646</v>
      </c>
      <c r="J33" s="34">
        <f>数据表!T3</f>
        <v>1991.84</v>
      </c>
      <c r="K33" s="34">
        <f t="shared" ref="K33:K58" si="18">J33*I33</f>
        <v>17.6086104466488</v>
      </c>
      <c r="L33" s="34">
        <f>数据表!R3</f>
        <v>4500</v>
      </c>
      <c r="M33" s="64">
        <f t="shared" ref="M33:M58" si="19">I33*L33</f>
        <v>39.7816827706641</v>
      </c>
      <c r="N33" s="123">
        <v>2.8</v>
      </c>
      <c r="O33" s="124">
        <v>0.71</v>
      </c>
      <c r="P33" s="125">
        <v>0</v>
      </c>
      <c r="Q33" s="34">
        <v>0</v>
      </c>
      <c r="R33" s="34">
        <f>数据表!P3*H33</f>
        <v>40</v>
      </c>
      <c r="S33" s="34">
        <f>N33*I33*H33</f>
        <v>0.0247530470573021</v>
      </c>
      <c r="T33" s="34">
        <f t="shared" ref="T33:T58" si="20">O33*I33*H33</f>
        <v>0.00627666550381588</v>
      </c>
      <c r="U33" s="34">
        <f t="shared" ref="U33:U58" si="21">P33*I33*H33</f>
        <v>0</v>
      </c>
      <c r="V33" s="34">
        <f>I33*Q33</f>
        <v>0</v>
      </c>
      <c r="W33" s="34">
        <f>R33*I33</f>
        <v>0.353614957961458</v>
      </c>
      <c r="X33" s="34">
        <f>数据表!G3+数据表!F32</f>
        <v>1</v>
      </c>
      <c r="Y33" s="34">
        <f t="shared" ref="Y33:Y58" si="22">I33*X33</f>
        <v>0.00884037394903646</v>
      </c>
      <c r="Z33" s="138">
        <v>0</v>
      </c>
      <c r="AA33" s="138">
        <v>3</v>
      </c>
      <c r="AB33" s="34">
        <f t="shared" ref="AB33:AB58" si="23">Z33*I33</f>
        <v>0</v>
      </c>
      <c r="AC33" s="102">
        <f t="shared" ref="AC33:AC58" si="24">AA33*I33</f>
        <v>0.0265211218471094</v>
      </c>
    </row>
    <row r="34" ht="15.6" spans="1:29">
      <c r="A34" s="32"/>
      <c r="B34" s="32"/>
      <c r="C34" s="32"/>
      <c r="D34" s="32"/>
      <c r="E34" s="32"/>
      <c r="F34" s="32"/>
      <c r="G34" s="41" t="s">
        <v>218</v>
      </c>
      <c r="H34" s="43">
        <v>2</v>
      </c>
      <c r="I34" s="40">
        <f>VLOOKUP(G34,G2:W27,17,0)</f>
        <v>0.0003503917902129</v>
      </c>
      <c r="J34" s="40">
        <f>数据表!T4</f>
        <v>2869.76</v>
      </c>
      <c r="K34" s="40">
        <f t="shared" si="18"/>
        <v>1.00554034388137</v>
      </c>
      <c r="L34" s="40">
        <f>数据表!R4</f>
        <v>9000</v>
      </c>
      <c r="M34" s="65">
        <f t="shared" si="19"/>
        <v>3.1535261119161</v>
      </c>
      <c r="N34" s="84">
        <v>1.96</v>
      </c>
      <c r="O34" s="85">
        <v>0.54</v>
      </c>
      <c r="P34" s="86">
        <v>0</v>
      </c>
      <c r="Q34" s="40">
        <v>0</v>
      </c>
      <c r="R34" s="40">
        <f>数据表!P4*H34</f>
        <v>60.32</v>
      </c>
      <c r="S34" s="40">
        <f t="shared" ref="S33:S58" si="25">N34*I34*H34</f>
        <v>0.00137353581763457</v>
      </c>
      <c r="T34" s="40">
        <f t="shared" si="20"/>
        <v>0.000378423133429932</v>
      </c>
      <c r="U34" s="40">
        <f t="shared" si="21"/>
        <v>0</v>
      </c>
      <c r="V34" s="40">
        <f t="shared" ref="V34:V58" si="26">I34*Q34</f>
        <v>0</v>
      </c>
      <c r="W34" s="40">
        <f t="shared" ref="W34:W58" si="27">R34*I34</f>
        <v>0.0211356327856421</v>
      </c>
      <c r="X34" s="40">
        <f>数据表!G4+数据表!F32</f>
        <v>2</v>
      </c>
      <c r="Y34" s="40">
        <f t="shared" si="22"/>
        <v>0.0007007835804258</v>
      </c>
      <c r="Z34" s="115">
        <v>0</v>
      </c>
      <c r="AA34" s="115">
        <v>6</v>
      </c>
      <c r="AB34" s="40">
        <f t="shared" si="23"/>
        <v>0</v>
      </c>
      <c r="AC34" s="103">
        <f t="shared" si="24"/>
        <v>0.0021023507412774</v>
      </c>
    </row>
    <row r="35" ht="15.6" spans="1:29">
      <c r="A35" s="32"/>
      <c r="B35" s="32"/>
      <c r="C35" s="32"/>
      <c r="D35" s="32"/>
      <c r="E35" s="32"/>
      <c r="F35" s="32"/>
      <c r="G35" s="41" t="s">
        <v>229</v>
      </c>
      <c r="H35" s="43">
        <v>4</v>
      </c>
      <c r="I35" s="40">
        <f>VLOOKUP(G35,G2:W27,17,0)</f>
        <v>7.97647539048803e-6</v>
      </c>
      <c r="J35" s="40">
        <f>数据表!T5</f>
        <v>3804.32</v>
      </c>
      <c r="K35" s="40">
        <f t="shared" si="18"/>
        <v>0.0303450648575414</v>
      </c>
      <c r="L35" s="40">
        <f>数据表!R5</f>
        <v>16000</v>
      </c>
      <c r="M35" s="65">
        <f t="shared" si="19"/>
        <v>0.127623606247808</v>
      </c>
      <c r="N35" s="84">
        <v>1.395</v>
      </c>
      <c r="O35" s="85">
        <v>0.31</v>
      </c>
      <c r="P35" s="86">
        <v>0</v>
      </c>
      <c r="Q35" s="40">
        <v>0</v>
      </c>
      <c r="R35" s="40">
        <f>数据表!P5*H35</f>
        <v>83.08</v>
      </c>
      <c r="S35" s="40">
        <f t="shared" si="25"/>
        <v>4.45087326789232e-5</v>
      </c>
      <c r="T35" s="40">
        <f t="shared" si="20"/>
        <v>9.89082948420515e-6</v>
      </c>
      <c r="U35" s="40">
        <f t="shared" si="21"/>
        <v>0</v>
      </c>
      <c r="V35" s="40">
        <f t="shared" si="26"/>
        <v>0</v>
      </c>
      <c r="W35" s="40">
        <f t="shared" si="27"/>
        <v>0.000662685575441745</v>
      </c>
      <c r="X35" s="40">
        <f>数据表!G5+数据表!F32</f>
        <v>4</v>
      </c>
      <c r="Y35" s="40">
        <f t="shared" si="22"/>
        <v>3.19059015619521e-5</v>
      </c>
      <c r="Z35" s="115">
        <v>0</v>
      </c>
      <c r="AA35" s="115">
        <v>10</v>
      </c>
      <c r="AB35" s="40">
        <f t="shared" si="23"/>
        <v>0</v>
      </c>
      <c r="AC35" s="103">
        <f t="shared" si="24"/>
        <v>7.97647539048802e-5</v>
      </c>
    </row>
    <row r="36" ht="16.35" spans="1:29">
      <c r="A36" s="32"/>
      <c r="B36" s="32"/>
      <c r="C36" s="32"/>
      <c r="D36" s="32"/>
      <c r="E36" s="32"/>
      <c r="F36" s="32"/>
      <c r="G36" s="47" t="s">
        <v>231</v>
      </c>
      <c r="H36" s="49">
        <v>0.5</v>
      </c>
      <c r="I36" s="53">
        <f>VLOOKUP(G36,G2:W27,17,0)</f>
        <v>0.00134930407774584</v>
      </c>
      <c r="J36" s="53">
        <f>数据表!T6</f>
        <v>3237.92</v>
      </c>
      <c r="K36" s="53">
        <f t="shared" si="18"/>
        <v>4.36893865941482</v>
      </c>
      <c r="L36" s="53">
        <f>数据表!R6</f>
        <v>3750</v>
      </c>
      <c r="M36" s="126">
        <f t="shared" si="19"/>
        <v>5.05989029154691</v>
      </c>
      <c r="N36" s="91">
        <v>9.78</v>
      </c>
      <c r="O36" s="92">
        <v>1.97</v>
      </c>
      <c r="P36" s="93">
        <v>0</v>
      </c>
      <c r="Q36" s="53">
        <v>0</v>
      </c>
      <c r="R36" s="53">
        <f>数据表!P6*H36</f>
        <v>97.245</v>
      </c>
      <c r="S36" s="53">
        <f t="shared" si="25"/>
        <v>0.00659809694017717</v>
      </c>
      <c r="T36" s="53">
        <f t="shared" si="20"/>
        <v>0.00132906451657966</v>
      </c>
      <c r="U36" s="53">
        <f t="shared" si="21"/>
        <v>0</v>
      </c>
      <c r="V36" s="53">
        <f t="shared" si="26"/>
        <v>0</v>
      </c>
      <c r="W36" s="53">
        <f t="shared" si="27"/>
        <v>0.131213075040395</v>
      </c>
      <c r="X36" s="53">
        <f>数据表!G6+数据表!F32</f>
        <v>0.5</v>
      </c>
      <c r="Y36" s="53">
        <f t="shared" si="22"/>
        <v>0.000674652038872922</v>
      </c>
      <c r="Z36" s="116">
        <v>8000</v>
      </c>
      <c r="AA36" s="116">
        <v>5</v>
      </c>
      <c r="AB36" s="53">
        <f t="shared" si="23"/>
        <v>10.7944326219667</v>
      </c>
      <c r="AC36" s="104">
        <f t="shared" si="24"/>
        <v>0.00674652038872922</v>
      </c>
    </row>
    <row r="37" ht="15.6" spans="1:29">
      <c r="A37" s="32"/>
      <c r="B37" s="32"/>
      <c r="C37" s="32"/>
      <c r="D37" s="32"/>
      <c r="E37" s="32"/>
      <c r="F37" s="32"/>
      <c r="G37" s="119" t="s">
        <v>232</v>
      </c>
      <c r="H37" s="120">
        <v>1</v>
      </c>
      <c r="I37" s="127">
        <f>VLOOKUP(G37,G2:W27,17,0)</f>
        <v>0.271158481157753</v>
      </c>
      <c r="J37" s="127">
        <f>数据表!T7</f>
        <v>2945.28</v>
      </c>
      <c r="K37" s="127">
        <f t="shared" si="18"/>
        <v>798.637651384306</v>
      </c>
      <c r="L37" s="127">
        <f>数据表!R7</f>
        <v>1500</v>
      </c>
      <c r="M37" s="128">
        <f t="shared" si="19"/>
        <v>406.737721736629</v>
      </c>
      <c r="N37" s="129">
        <v>0</v>
      </c>
      <c r="O37" s="130">
        <v>0</v>
      </c>
      <c r="P37" s="131">
        <v>0.052</v>
      </c>
      <c r="Q37" s="127">
        <v>0.44</v>
      </c>
      <c r="R37" s="127">
        <f>数据表!P7*H37</f>
        <v>0</v>
      </c>
      <c r="S37" s="127">
        <f t="shared" si="25"/>
        <v>0</v>
      </c>
      <c r="T37" s="127">
        <f t="shared" si="20"/>
        <v>0</v>
      </c>
      <c r="U37" s="127">
        <f t="shared" si="21"/>
        <v>0.0141002410202031</v>
      </c>
      <c r="V37" s="127">
        <f t="shared" si="26"/>
        <v>0.119309731709411</v>
      </c>
      <c r="W37" s="127">
        <f t="shared" si="27"/>
        <v>0</v>
      </c>
      <c r="X37" s="127">
        <f>数据表!G7+数据表!F32</f>
        <v>1</v>
      </c>
      <c r="Y37" s="127">
        <f t="shared" si="22"/>
        <v>0.271158481157753</v>
      </c>
      <c r="Z37" s="139">
        <v>0</v>
      </c>
      <c r="AA37" s="139">
        <v>0</v>
      </c>
      <c r="AB37" s="127">
        <f t="shared" si="23"/>
        <v>0</v>
      </c>
      <c r="AC37" s="140">
        <f t="shared" si="24"/>
        <v>0</v>
      </c>
    </row>
    <row r="38" ht="15.6" spans="1:29">
      <c r="A38" s="32"/>
      <c r="B38" s="32"/>
      <c r="C38" s="32"/>
      <c r="D38" s="32"/>
      <c r="E38" s="32"/>
      <c r="F38" s="32"/>
      <c r="G38" s="41" t="s">
        <v>233</v>
      </c>
      <c r="H38" s="43">
        <v>2</v>
      </c>
      <c r="I38" s="40">
        <f>VLOOKUP(G38,G2:W27,17,0)</f>
        <v>0.111900813561156</v>
      </c>
      <c r="J38" s="40">
        <f>数据表!T8</f>
        <v>5324.16</v>
      </c>
      <c r="K38" s="40">
        <f t="shared" si="18"/>
        <v>595.777835529763</v>
      </c>
      <c r="L38" s="40">
        <f>数据表!R8</f>
        <v>3000</v>
      </c>
      <c r="M38" s="65">
        <f t="shared" si="19"/>
        <v>335.702440683468</v>
      </c>
      <c r="N38" s="84">
        <v>0</v>
      </c>
      <c r="O38" s="85">
        <v>0</v>
      </c>
      <c r="P38" s="86">
        <v>0.047</v>
      </c>
      <c r="Q38" s="40">
        <v>0.79</v>
      </c>
      <c r="R38" s="40">
        <f>数据表!P8*H38</f>
        <v>0</v>
      </c>
      <c r="S38" s="40">
        <f t="shared" si="25"/>
        <v>0</v>
      </c>
      <c r="T38" s="40">
        <f t="shared" si="20"/>
        <v>0</v>
      </c>
      <c r="U38" s="40">
        <f t="shared" si="21"/>
        <v>0.0105186764747486</v>
      </c>
      <c r="V38" s="40">
        <f t="shared" si="26"/>
        <v>0.0884016427133131</v>
      </c>
      <c r="W38" s="40">
        <f t="shared" si="27"/>
        <v>0</v>
      </c>
      <c r="X38" s="40">
        <f>数据表!G8+数据表!F32</f>
        <v>2</v>
      </c>
      <c r="Y38" s="40">
        <f t="shared" si="22"/>
        <v>0.223801627122312</v>
      </c>
      <c r="Z38" s="115">
        <v>0</v>
      </c>
      <c r="AA38" s="115">
        <v>0</v>
      </c>
      <c r="AB38" s="40">
        <f t="shared" si="23"/>
        <v>0</v>
      </c>
      <c r="AC38" s="103">
        <f t="shared" si="24"/>
        <v>0</v>
      </c>
    </row>
    <row r="39" ht="15.6" spans="1:29">
      <c r="A39" s="32"/>
      <c r="B39" s="32"/>
      <c r="C39" s="32"/>
      <c r="D39" s="32"/>
      <c r="E39" s="32"/>
      <c r="F39" s="32"/>
      <c r="G39" s="41" t="s">
        <v>235</v>
      </c>
      <c r="H39" s="43">
        <v>4</v>
      </c>
      <c r="I39" s="40">
        <f>VLOOKUP(G39,G2:W27,17,0)</f>
        <v>0.0860800666383823</v>
      </c>
      <c r="J39" s="40">
        <f>数据表!T9</f>
        <v>11554.56</v>
      </c>
      <c r="K39" s="40">
        <f t="shared" si="18"/>
        <v>994.617294777186</v>
      </c>
      <c r="L39" s="40">
        <f>数据表!R9</f>
        <v>6000</v>
      </c>
      <c r="M39" s="65">
        <f t="shared" si="19"/>
        <v>516.480399830294</v>
      </c>
      <c r="N39" s="84">
        <v>0</v>
      </c>
      <c r="O39" s="85">
        <v>0</v>
      </c>
      <c r="P39" s="86">
        <v>0.051</v>
      </c>
      <c r="Q39" s="40">
        <v>1.4</v>
      </c>
      <c r="R39" s="40">
        <f>数据表!P9*H39</f>
        <v>0</v>
      </c>
      <c r="S39" s="40">
        <f t="shared" si="25"/>
        <v>0</v>
      </c>
      <c r="T39" s="40">
        <f t="shared" si="20"/>
        <v>0</v>
      </c>
      <c r="U39" s="40">
        <f t="shared" si="21"/>
        <v>0.01756033359423</v>
      </c>
      <c r="V39" s="40">
        <f t="shared" si="26"/>
        <v>0.120512093293735</v>
      </c>
      <c r="W39" s="40">
        <f t="shared" si="27"/>
        <v>0</v>
      </c>
      <c r="X39" s="40">
        <f>数据表!G9+数据表!F32</f>
        <v>4</v>
      </c>
      <c r="Y39" s="40">
        <f t="shared" si="22"/>
        <v>0.344320266553529</v>
      </c>
      <c r="Z39" s="115">
        <v>0</v>
      </c>
      <c r="AA39" s="115">
        <v>0</v>
      </c>
      <c r="AB39" s="40">
        <f t="shared" si="23"/>
        <v>0</v>
      </c>
      <c r="AC39" s="103">
        <f t="shared" si="24"/>
        <v>0</v>
      </c>
    </row>
    <row r="40" ht="16.35" spans="1:29">
      <c r="A40" s="32"/>
      <c r="B40" s="32"/>
      <c r="C40" s="32"/>
      <c r="D40" s="32"/>
      <c r="E40" s="32"/>
      <c r="F40" s="32"/>
      <c r="G40" s="72" t="s">
        <v>237</v>
      </c>
      <c r="H40" s="73">
        <v>0.5</v>
      </c>
      <c r="I40" s="87">
        <f>VLOOKUP(G40,G2:W27,17,0)</f>
        <v>0.04641152807097</v>
      </c>
      <c r="J40" s="87">
        <f>数据表!T10</f>
        <v>23109.12</v>
      </c>
      <c r="K40" s="87">
        <f t="shared" si="18"/>
        <v>1072.52957157541</v>
      </c>
      <c r="L40" s="87">
        <f>数据表!R10</f>
        <v>750</v>
      </c>
      <c r="M40" s="88">
        <f t="shared" si="19"/>
        <v>34.8086460532275</v>
      </c>
      <c r="N40" s="132">
        <v>0</v>
      </c>
      <c r="O40" s="133">
        <v>0</v>
      </c>
      <c r="P40" s="134">
        <v>0.816</v>
      </c>
      <c r="Q40" s="87">
        <v>3.4</v>
      </c>
      <c r="R40" s="87">
        <f>数据表!P10*H40</f>
        <v>0</v>
      </c>
      <c r="S40" s="87">
        <f t="shared" si="25"/>
        <v>0</v>
      </c>
      <c r="T40" s="87">
        <f t="shared" si="20"/>
        <v>0</v>
      </c>
      <c r="U40" s="87">
        <f t="shared" si="21"/>
        <v>0.0189359034529558</v>
      </c>
      <c r="V40" s="87">
        <f t="shared" si="26"/>
        <v>0.157799195441298</v>
      </c>
      <c r="W40" s="87">
        <f t="shared" si="27"/>
        <v>0</v>
      </c>
      <c r="X40" s="87">
        <f>数据表!G10+数据表!F32</f>
        <v>0.5</v>
      </c>
      <c r="Y40" s="87">
        <f t="shared" si="22"/>
        <v>0.023205764035485</v>
      </c>
      <c r="Z40" s="141">
        <v>5000</v>
      </c>
      <c r="AA40" s="141">
        <v>0</v>
      </c>
      <c r="AB40" s="87">
        <f t="shared" si="23"/>
        <v>232.05764035485</v>
      </c>
      <c r="AC40" s="137">
        <f t="shared" si="24"/>
        <v>0</v>
      </c>
    </row>
    <row r="41" ht="15.6" spans="1:29">
      <c r="A41" s="32"/>
      <c r="B41" s="32"/>
      <c r="C41" s="32"/>
      <c r="D41" s="32"/>
      <c r="E41" s="32"/>
      <c r="F41" s="32"/>
      <c r="G41" s="33" t="s">
        <v>238</v>
      </c>
      <c r="H41" s="36">
        <v>2.5</v>
      </c>
      <c r="I41" s="34">
        <f>VLOOKUP(G41,G2:W27,17,0)</f>
        <v>0.0676764545725865</v>
      </c>
      <c r="J41" s="34">
        <f>数据表!T11</f>
        <v>3068</v>
      </c>
      <c r="K41" s="34">
        <f t="shared" si="18"/>
        <v>207.631362628695</v>
      </c>
      <c r="L41" s="34">
        <f>数据表!R11</f>
        <v>3750</v>
      </c>
      <c r="M41" s="64">
        <f t="shared" si="19"/>
        <v>253.786704647199</v>
      </c>
      <c r="N41" s="123">
        <v>0.92</v>
      </c>
      <c r="O41" s="124">
        <v>0</v>
      </c>
      <c r="P41" s="125">
        <v>0.014</v>
      </c>
      <c r="Q41" s="34">
        <v>0.37</v>
      </c>
      <c r="R41" s="34">
        <f>数据表!P11*H41</f>
        <v>0</v>
      </c>
      <c r="S41" s="34">
        <f t="shared" si="25"/>
        <v>0.155655845516949</v>
      </c>
      <c r="T41" s="34">
        <f t="shared" si="20"/>
        <v>0</v>
      </c>
      <c r="U41" s="34">
        <f t="shared" si="21"/>
        <v>0.00236867591004053</v>
      </c>
      <c r="V41" s="34">
        <f t="shared" si="26"/>
        <v>0.025040288191857</v>
      </c>
      <c r="W41" s="34">
        <f t="shared" si="27"/>
        <v>0</v>
      </c>
      <c r="X41" s="34">
        <f>数据表!G11+数据表!F32</f>
        <v>2.5</v>
      </c>
      <c r="Y41" s="34">
        <f t="shared" si="22"/>
        <v>0.169191136431466</v>
      </c>
      <c r="Z41" s="138">
        <v>3000</v>
      </c>
      <c r="AA41" s="138">
        <v>0</v>
      </c>
      <c r="AB41" s="34">
        <f t="shared" si="23"/>
        <v>203.029363717759</v>
      </c>
      <c r="AC41" s="102">
        <f t="shared" si="24"/>
        <v>0</v>
      </c>
    </row>
    <row r="42" ht="15.6" spans="1:29">
      <c r="A42" s="32"/>
      <c r="B42" s="32"/>
      <c r="C42" s="32"/>
      <c r="D42" s="32"/>
      <c r="E42" s="32"/>
      <c r="F42" s="32"/>
      <c r="G42" s="41" t="s">
        <v>239</v>
      </c>
      <c r="H42" s="43">
        <v>5</v>
      </c>
      <c r="I42" s="40">
        <f>VLOOKUP(G42,G2:W27,17,0)</f>
        <v>0.00136375276772876</v>
      </c>
      <c r="J42" s="40">
        <f>数据表!T12</f>
        <v>4602</v>
      </c>
      <c r="K42" s="40">
        <f t="shared" si="18"/>
        <v>6.27599023708775</v>
      </c>
      <c r="L42" s="40">
        <f>数据表!R12</f>
        <v>7500</v>
      </c>
      <c r="M42" s="65">
        <f t="shared" si="19"/>
        <v>10.2281457579657</v>
      </c>
      <c r="N42" s="84">
        <v>0.75</v>
      </c>
      <c r="O42" s="85">
        <v>0</v>
      </c>
      <c r="P42" s="86">
        <v>0.01</v>
      </c>
      <c r="Q42" s="40">
        <v>0.66</v>
      </c>
      <c r="R42" s="40">
        <f>数据表!P12*H42</f>
        <v>0</v>
      </c>
      <c r="S42" s="40">
        <f t="shared" si="25"/>
        <v>0.00511407287898285</v>
      </c>
      <c r="T42" s="40">
        <f t="shared" si="20"/>
        <v>0</v>
      </c>
      <c r="U42" s="40">
        <f t="shared" si="21"/>
        <v>6.8187638386438e-5</v>
      </c>
      <c r="V42" s="40">
        <f t="shared" si="26"/>
        <v>0.000900076826700981</v>
      </c>
      <c r="W42" s="40">
        <f t="shared" si="27"/>
        <v>0</v>
      </c>
      <c r="X42" s="40">
        <f>数据表!G12+数据表!F32</f>
        <v>5</v>
      </c>
      <c r="Y42" s="40">
        <f t="shared" si="22"/>
        <v>0.0068187638386438</v>
      </c>
      <c r="Z42" s="115">
        <v>5000</v>
      </c>
      <c r="AA42" s="115">
        <v>0</v>
      </c>
      <c r="AB42" s="40">
        <f t="shared" si="23"/>
        <v>6.8187638386438</v>
      </c>
      <c r="AC42" s="103">
        <f t="shared" si="24"/>
        <v>0</v>
      </c>
    </row>
    <row r="43" ht="15.6" spans="1:29">
      <c r="A43" s="32"/>
      <c r="B43" s="32"/>
      <c r="C43" s="32"/>
      <c r="D43" s="32"/>
      <c r="E43" s="32"/>
      <c r="F43" s="32"/>
      <c r="G43" s="41" t="s">
        <v>240</v>
      </c>
      <c r="H43" s="43">
        <v>8</v>
      </c>
      <c r="I43" s="40">
        <f>VLOOKUP(G43,G2:W27,17,0)</f>
        <v>0.000112491727743098</v>
      </c>
      <c r="J43" s="40">
        <f>数据表!T13</f>
        <v>7816.32</v>
      </c>
      <c r="K43" s="40">
        <f t="shared" si="18"/>
        <v>0.879271341392928</v>
      </c>
      <c r="L43" s="40">
        <f>数据表!R13</f>
        <v>12000</v>
      </c>
      <c r="M43" s="65">
        <f t="shared" si="19"/>
        <v>1.34990073291717</v>
      </c>
      <c r="N43" s="84">
        <v>0.75</v>
      </c>
      <c r="O43" s="85">
        <v>0</v>
      </c>
      <c r="P43" s="86">
        <v>0.011</v>
      </c>
      <c r="Q43" s="40">
        <v>0.9</v>
      </c>
      <c r="R43" s="40">
        <f>数据表!P13*H43</f>
        <v>0</v>
      </c>
      <c r="S43" s="40">
        <f t="shared" si="25"/>
        <v>0.000674950366458585</v>
      </c>
      <c r="T43" s="40">
        <f t="shared" si="20"/>
        <v>0</v>
      </c>
      <c r="U43" s="40">
        <f t="shared" si="21"/>
        <v>9.89927204139258e-6</v>
      </c>
      <c r="V43" s="40">
        <f t="shared" si="26"/>
        <v>0.000101242554968788</v>
      </c>
      <c r="W43" s="40">
        <f t="shared" si="27"/>
        <v>0</v>
      </c>
      <c r="X43" s="40">
        <f>数据表!G13+数据表!F32</f>
        <v>8</v>
      </c>
      <c r="Y43" s="40">
        <f t="shared" si="22"/>
        <v>0.00089993382194478</v>
      </c>
      <c r="Z43" s="115">
        <v>8000</v>
      </c>
      <c r="AA43" s="115">
        <v>0</v>
      </c>
      <c r="AB43" s="40">
        <f t="shared" si="23"/>
        <v>0.89993382194478</v>
      </c>
      <c r="AC43" s="103">
        <f t="shared" si="24"/>
        <v>0</v>
      </c>
    </row>
    <row r="44" ht="16.35" spans="1:29">
      <c r="A44" s="32"/>
      <c r="B44" s="32"/>
      <c r="C44" s="32"/>
      <c r="D44" s="32"/>
      <c r="E44" s="32"/>
      <c r="F44" s="32"/>
      <c r="G44" s="47" t="s">
        <v>242</v>
      </c>
      <c r="H44" s="49">
        <v>0.5</v>
      </c>
      <c r="I44" s="53">
        <f>VLOOKUP(G44,G2:W27,17,0)</f>
        <v>0.00802192582127599</v>
      </c>
      <c r="J44" s="53">
        <f>数据表!T14</f>
        <v>11235.96</v>
      </c>
      <c r="K44" s="53">
        <f t="shared" si="18"/>
        <v>90.1340376508242</v>
      </c>
      <c r="L44" s="53">
        <f>数据表!R14</f>
        <v>5750</v>
      </c>
      <c r="M44" s="126">
        <f t="shared" si="19"/>
        <v>46.126073472337</v>
      </c>
      <c r="N44" s="91">
        <v>17.61</v>
      </c>
      <c r="O44" s="92">
        <v>0</v>
      </c>
      <c r="P44" s="93">
        <v>0.25</v>
      </c>
      <c r="Q44" s="53">
        <v>1.39</v>
      </c>
      <c r="R44" s="53">
        <f>数据表!P14*H44</f>
        <v>0</v>
      </c>
      <c r="S44" s="53">
        <f t="shared" si="25"/>
        <v>0.0706330568563351</v>
      </c>
      <c r="T44" s="53">
        <f t="shared" si="20"/>
        <v>0</v>
      </c>
      <c r="U44" s="53">
        <f t="shared" si="21"/>
        <v>0.0010027407276595</v>
      </c>
      <c r="V44" s="53">
        <f t="shared" si="26"/>
        <v>0.0111504768915736</v>
      </c>
      <c r="W44" s="53">
        <f t="shared" si="27"/>
        <v>0</v>
      </c>
      <c r="X44" s="53">
        <f>数据表!G14+数据表!F32</f>
        <v>0.5</v>
      </c>
      <c r="Y44" s="53">
        <f t="shared" si="22"/>
        <v>0.004010962910638</v>
      </c>
      <c r="Z44" s="116">
        <v>5000</v>
      </c>
      <c r="AA44" s="116">
        <v>5</v>
      </c>
      <c r="AB44" s="53">
        <f t="shared" si="23"/>
        <v>40.10962910638</v>
      </c>
      <c r="AC44" s="104">
        <f t="shared" si="24"/>
        <v>0.04010962910638</v>
      </c>
    </row>
    <row r="45" ht="15.6" spans="1:29">
      <c r="A45" s="32"/>
      <c r="B45" s="32"/>
      <c r="C45" s="32"/>
      <c r="D45" s="32"/>
      <c r="E45" s="32"/>
      <c r="F45" s="32"/>
      <c r="G45" s="119" t="s">
        <v>243</v>
      </c>
      <c r="H45" s="120">
        <v>2.5</v>
      </c>
      <c r="I45" s="127">
        <f>VLOOKUP(G45,G2:W27,17,0)</f>
        <v>0.0658549355166028</v>
      </c>
      <c r="J45" s="127">
        <f>数据表!T15</f>
        <v>3422</v>
      </c>
      <c r="K45" s="127">
        <f t="shared" si="18"/>
        <v>225.355589337815</v>
      </c>
      <c r="L45" s="127">
        <f>数据表!R15</f>
        <v>3750</v>
      </c>
      <c r="M45" s="128">
        <f t="shared" si="19"/>
        <v>246.956008187261</v>
      </c>
      <c r="N45" s="129">
        <v>0</v>
      </c>
      <c r="O45" s="130">
        <v>0.61</v>
      </c>
      <c r="P45" s="131">
        <v>0.014</v>
      </c>
      <c r="Q45" s="127">
        <v>0.39</v>
      </c>
      <c r="R45" s="127">
        <f>数据表!P15*H45</f>
        <v>0</v>
      </c>
      <c r="S45" s="127">
        <f t="shared" si="25"/>
        <v>0</v>
      </c>
      <c r="T45" s="127">
        <f t="shared" si="20"/>
        <v>0.100428776662819</v>
      </c>
      <c r="U45" s="127">
        <f t="shared" si="21"/>
        <v>0.0023049227430811</v>
      </c>
      <c r="V45" s="127">
        <f t="shared" si="26"/>
        <v>0.0256834248514751</v>
      </c>
      <c r="W45" s="127">
        <f t="shared" si="27"/>
        <v>0</v>
      </c>
      <c r="X45" s="127">
        <f>数据表!G15+数据表!F32</f>
        <v>2.5</v>
      </c>
      <c r="Y45" s="127">
        <f t="shared" si="22"/>
        <v>0.164637338791507</v>
      </c>
      <c r="Z45" s="139">
        <v>3000</v>
      </c>
      <c r="AA45" s="139">
        <v>0</v>
      </c>
      <c r="AB45" s="127">
        <f t="shared" si="23"/>
        <v>197.564806549808</v>
      </c>
      <c r="AC45" s="140">
        <f t="shared" si="24"/>
        <v>0</v>
      </c>
    </row>
    <row r="46" ht="15.6" spans="1:29">
      <c r="A46" s="32"/>
      <c r="B46" s="32"/>
      <c r="C46" s="32"/>
      <c r="D46" s="32"/>
      <c r="E46" s="32"/>
      <c r="F46" s="32"/>
      <c r="G46" s="41" t="s">
        <v>244</v>
      </c>
      <c r="H46" s="43">
        <v>5</v>
      </c>
      <c r="I46" s="40">
        <f>VLOOKUP(G46,G2:W27,17,0)</f>
        <v>0.00133868587542975</v>
      </c>
      <c r="J46" s="40">
        <f>数据表!T16</f>
        <v>5239.2</v>
      </c>
      <c r="K46" s="40">
        <f t="shared" si="18"/>
        <v>7.01364303855152</v>
      </c>
      <c r="L46" s="40">
        <f>数据表!R16</f>
        <v>7500</v>
      </c>
      <c r="M46" s="65">
        <f t="shared" si="19"/>
        <v>10.0401440657231</v>
      </c>
      <c r="N46" s="84">
        <v>0</v>
      </c>
      <c r="O46" s="85">
        <v>0.51</v>
      </c>
      <c r="P46" s="86">
        <v>0.01</v>
      </c>
      <c r="Q46" s="40">
        <v>0.55</v>
      </c>
      <c r="R46" s="40">
        <f>数据表!P16*H46</f>
        <v>0</v>
      </c>
      <c r="S46" s="40">
        <f t="shared" si="25"/>
        <v>0</v>
      </c>
      <c r="T46" s="40">
        <f t="shared" si="20"/>
        <v>0.00341364898234585</v>
      </c>
      <c r="U46" s="40">
        <f t="shared" si="21"/>
        <v>6.69342937714873e-5</v>
      </c>
      <c r="V46" s="40">
        <f t="shared" si="26"/>
        <v>0.00073627723148636</v>
      </c>
      <c r="W46" s="40">
        <f t="shared" si="27"/>
        <v>0</v>
      </c>
      <c r="X46" s="40">
        <f>数据表!G16+数据表!F32</f>
        <v>5</v>
      </c>
      <c r="Y46" s="40">
        <f t="shared" si="22"/>
        <v>0.00669342937714873</v>
      </c>
      <c r="Z46" s="115">
        <v>5000</v>
      </c>
      <c r="AA46" s="115">
        <v>0</v>
      </c>
      <c r="AB46" s="40">
        <f t="shared" si="23"/>
        <v>6.69342937714873</v>
      </c>
      <c r="AC46" s="103">
        <f t="shared" si="24"/>
        <v>0</v>
      </c>
    </row>
    <row r="47" ht="15.6" spans="1:29">
      <c r="A47" s="32"/>
      <c r="B47" s="32"/>
      <c r="C47" s="32"/>
      <c r="D47" s="32"/>
      <c r="E47" s="32"/>
      <c r="F47" s="32"/>
      <c r="G47" s="41" t="s">
        <v>245</v>
      </c>
      <c r="H47" s="43">
        <v>8</v>
      </c>
      <c r="I47" s="40">
        <f>VLOOKUP(G47,G2:W27,17,0)</f>
        <v>8.66758979574656e-5</v>
      </c>
      <c r="J47" s="40">
        <f>数据表!T17</f>
        <v>8835.84</v>
      </c>
      <c r="K47" s="40">
        <f t="shared" si="18"/>
        <v>0.765854366208493</v>
      </c>
      <c r="L47" s="40">
        <f>数据表!R17</f>
        <v>12000</v>
      </c>
      <c r="M47" s="65">
        <f t="shared" si="19"/>
        <v>1.04011077548959</v>
      </c>
      <c r="N47" s="84">
        <v>0</v>
      </c>
      <c r="O47" s="85">
        <v>0.51</v>
      </c>
      <c r="P47" s="86">
        <v>0.011</v>
      </c>
      <c r="Q47" s="40">
        <v>1.05</v>
      </c>
      <c r="R47" s="40">
        <f>数据表!P17*H47</f>
        <v>0</v>
      </c>
      <c r="S47" s="40">
        <f t="shared" si="25"/>
        <v>0</v>
      </c>
      <c r="T47" s="40">
        <f t="shared" si="20"/>
        <v>0.00035363766366646</v>
      </c>
      <c r="U47" s="40">
        <f t="shared" si="21"/>
        <v>7.62747902025697e-6</v>
      </c>
      <c r="V47" s="40">
        <f t="shared" si="26"/>
        <v>9.10096928553389e-5</v>
      </c>
      <c r="W47" s="40">
        <f t="shared" si="27"/>
        <v>0</v>
      </c>
      <c r="X47" s="40">
        <f>数据表!G17+数据表!F32</f>
        <v>8</v>
      </c>
      <c r="Y47" s="40">
        <f t="shared" si="22"/>
        <v>0.000693407183659725</v>
      </c>
      <c r="Z47" s="115">
        <v>8000</v>
      </c>
      <c r="AA47" s="115">
        <v>0</v>
      </c>
      <c r="AB47" s="40">
        <f t="shared" si="23"/>
        <v>0.693407183659725</v>
      </c>
      <c r="AC47" s="103">
        <f t="shared" si="24"/>
        <v>0</v>
      </c>
    </row>
    <row r="48" ht="16.35" spans="1:29">
      <c r="A48" s="32"/>
      <c r="B48" s="32"/>
      <c r="C48" s="32"/>
      <c r="D48" s="32"/>
      <c r="E48" s="32"/>
      <c r="F48" s="32"/>
      <c r="G48" s="72" t="s">
        <v>247</v>
      </c>
      <c r="H48" s="73">
        <v>0.5</v>
      </c>
      <c r="I48" s="87">
        <f>VLOOKUP(G48,G2:W27,17,0)</f>
        <v>0.00537366867944234</v>
      </c>
      <c r="J48" s="87">
        <f>数据表!T18</f>
        <v>12635.44</v>
      </c>
      <c r="K48" s="87">
        <f t="shared" si="18"/>
        <v>67.898668178973</v>
      </c>
      <c r="L48" s="87">
        <f>数据表!R18</f>
        <v>5750</v>
      </c>
      <c r="M48" s="88">
        <f t="shared" si="19"/>
        <v>30.8985949067935</v>
      </c>
      <c r="N48" s="132">
        <v>0</v>
      </c>
      <c r="O48" s="133">
        <v>11.77</v>
      </c>
      <c r="P48" s="134">
        <v>0.25</v>
      </c>
      <c r="Q48" s="87">
        <v>1.38</v>
      </c>
      <c r="R48" s="87">
        <f>数据表!P18*H48</f>
        <v>0</v>
      </c>
      <c r="S48" s="87">
        <f t="shared" si="25"/>
        <v>0</v>
      </c>
      <c r="T48" s="87">
        <f t="shared" si="20"/>
        <v>0.0316240401785182</v>
      </c>
      <c r="U48" s="87">
        <f t="shared" si="21"/>
        <v>0.000671708584930293</v>
      </c>
      <c r="V48" s="87">
        <f t="shared" si="26"/>
        <v>0.00741566277763043</v>
      </c>
      <c r="W48" s="87">
        <f t="shared" si="27"/>
        <v>0</v>
      </c>
      <c r="X48" s="87">
        <f>数据表!G18+数据表!F32</f>
        <v>0.5</v>
      </c>
      <c r="Y48" s="87">
        <f t="shared" si="22"/>
        <v>0.00268683433972117</v>
      </c>
      <c r="Z48" s="141">
        <v>5000</v>
      </c>
      <c r="AA48" s="141">
        <v>5</v>
      </c>
      <c r="AB48" s="87">
        <f t="shared" si="23"/>
        <v>26.8683433972117</v>
      </c>
      <c r="AC48" s="137">
        <f t="shared" si="24"/>
        <v>0.0268683433972117</v>
      </c>
    </row>
    <row r="49" ht="15.6" spans="1:29">
      <c r="A49" s="32"/>
      <c r="B49" s="32"/>
      <c r="C49" s="32"/>
      <c r="D49" s="32"/>
      <c r="E49" s="32"/>
      <c r="F49" s="32"/>
      <c r="G49" s="33" t="s">
        <v>248</v>
      </c>
      <c r="H49" s="36">
        <v>1.5</v>
      </c>
      <c r="I49" s="34">
        <f>VLOOKUP(G49,G2:W27,17,0)</f>
        <v>0.193628719719903</v>
      </c>
      <c r="J49" s="34">
        <f>数据表!T19</f>
        <v>1982.4</v>
      </c>
      <c r="K49" s="34">
        <f t="shared" si="18"/>
        <v>383.849573972736</v>
      </c>
      <c r="L49" s="34">
        <f>数据表!R19</f>
        <v>2250</v>
      </c>
      <c r="M49" s="64">
        <f t="shared" si="19"/>
        <v>435.664619369782</v>
      </c>
      <c r="N49" s="123">
        <v>0.58</v>
      </c>
      <c r="O49" s="124">
        <v>0.15</v>
      </c>
      <c r="P49" s="125">
        <v>0.016</v>
      </c>
      <c r="Q49" s="34">
        <v>0.27</v>
      </c>
      <c r="R49" s="34">
        <f>数据表!P19*H49</f>
        <v>0</v>
      </c>
      <c r="S49" s="34">
        <f t="shared" si="25"/>
        <v>0.168456986156316</v>
      </c>
      <c r="T49" s="34">
        <f t="shared" si="20"/>
        <v>0.0435664619369782</v>
      </c>
      <c r="U49" s="34">
        <f t="shared" si="21"/>
        <v>0.00464708927327768</v>
      </c>
      <c r="V49" s="34">
        <f t="shared" si="26"/>
        <v>0.0522797543243739</v>
      </c>
      <c r="W49" s="34">
        <f t="shared" si="27"/>
        <v>0</v>
      </c>
      <c r="X49" s="34">
        <f>数据表!G19+数据表!F32</f>
        <v>1.5</v>
      </c>
      <c r="Y49" s="34">
        <f t="shared" si="22"/>
        <v>0.290443079579855</v>
      </c>
      <c r="Z49" s="138">
        <v>1500</v>
      </c>
      <c r="AA49" s="138">
        <v>0</v>
      </c>
      <c r="AB49" s="34">
        <f t="shared" si="23"/>
        <v>290.443079579855</v>
      </c>
      <c r="AC49" s="102">
        <f t="shared" si="24"/>
        <v>0</v>
      </c>
    </row>
    <row r="50" ht="16.35" spans="1:29">
      <c r="A50" s="32"/>
      <c r="B50" s="32"/>
      <c r="C50" s="32"/>
      <c r="D50" s="32"/>
      <c r="E50" s="32"/>
      <c r="F50" s="32"/>
      <c r="G50" s="63" t="s">
        <v>249</v>
      </c>
      <c r="H50" s="43">
        <v>2.5</v>
      </c>
      <c r="I50" s="40">
        <f>VLOOKUP(G50,G2:W27,17,0)</f>
        <v>0.00918221162151785</v>
      </c>
      <c r="J50" s="40">
        <f>数据表!T20</f>
        <v>2749.4</v>
      </c>
      <c r="K50" s="40">
        <f t="shared" si="18"/>
        <v>25.2455726322012</v>
      </c>
      <c r="L50" s="40">
        <f>数据表!R20</f>
        <v>3750</v>
      </c>
      <c r="M50" s="65">
        <f t="shared" si="19"/>
        <v>34.4332935806919</v>
      </c>
      <c r="N50" s="84">
        <v>0.45</v>
      </c>
      <c r="O50" s="85">
        <v>0.1</v>
      </c>
      <c r="P50" s="86">
        <v>0.014</v>
      </c>
      <c r="Q50" s="40">
        <v>0.39</v>
      </c>
      <c r="R50" s="40">
        <f>数据表!P20*H50</f>
        <v>0</v>
      </c>
      <c r="S50" s="40">
        <f t="shared" si="25"/>
        <v>0.0103299880742076</v>
      </c>
      <c r="T50" s="40">
        <f t="shared" si="20"/>
        <v>0.00229555290537946</v>
      </c>
      <c r="U50" s="40">
        <f t="shared" si="21"/>
        <v>0.000321377406753125</v>
      </c>
      <c r="V50" s="40">
        <f t="shared" si="26"/>
        <v>0.00358106253239196</v>
      </c>
      <c r="W50" s="40">
        <f t="shared" si="27"/>
        <v>0</v>
      </c>
      <c r="X50" s="40">
        <f>数据表!G20+数据表!F32</f>
        <v>2.5</v>
      </c>
      <c r="Y50" s="40">
        <f t="shared" si="22"/>
        <v>0.0229555290537946</v>
      </c>
      <c r="Z50" s="115">
        <v>3000</v>
      </c>
      <c r="AA50" s="115">
        <v>0</v>
      </c>
      <c r="AB50" s="40">
        <f t="shared" si="23"/>
        <v>27.5466348645535</v>
      </c>
      <c r="AC50" s="103">
        <f t="shared" si="24"/>
        <v>0</v>
      </c>
    </row>
    <row r="51" ht="16.35" spans="1:29">
      <c r="A51" s="33"/>
      <c r="B51" s="34" t="s">
        <v>311</v>
      </c>
      <c r="C51" s="34" t="s">
        <v>336</v>
      </c>
      <c r="D51" s="34" t="s">
        <v>89</v>
      </c>
      <c r="E51" s="34" t="s">
        <v>93</v>
      </c>
      <c r="F51" s="64" t="s">
        <v>97</v>
      </c>
      <c r="G51" s="47" t="s">
        <v>250</v>
      </c>
      <c r="H51" s="49">
        <v>4</v>
      </c>
      <c r="I51" s="53">
        <f>VLOOKUP(G51,G2:W27,17,0)</f>
        <v>0.0786350477653183</v>
      </c>
      <c r="J51" s="53">
        <f>数据表!T21</f>
        <v>7400.96</v>
      </c>
      <c r="K51" s="53">
        <f t="shared" si="18"/>
        <v>581.97484310921</v>
      </c>
      <c r="L51" s="53">
        <f>数据表!R21</f>
        <v>6000</v>
      </c>
      <c r="M51" s="126">
        <f t="shared" si="19"/>
        <v>471.81028659191</v>
      </c>
      <c r="N51" s="91">
        <v>0.52</v>
      </c>
      <c r="O51" s="92">
        <v>0.14</v>
      </c>
      <c r="P51" s="93">
        <v>0.026</v>
      </c>
      <c r="Q51" s="53">
        <v>1.15</v>
      </c>
      <c r="R51" s="53">
        <f>数据表!P21*H51</f>
        <v>0</v>
      </c>
      <c r="S51" s="53">
        <f t="shared" si="25"/>
        <v>0.163560899351862</v>
      </c>
      <c r="T51" s="53">
        <f t="shared" si="20"/>
        <v>0.0440356267485782</v>
      </c>
      <c r="U51" s="53">
        <f t="shared" si="21"/>
        <v>0.0081780449675931</v>
      </c>
      <c r="V51" s="53">
        <f t="shared" si="26"/>
        <v>0.090430304930116</v>
      </c>
      <c r="W51" s="53">
        <f t="shared" si="27"/>
        <v>0</v>
      </c>
      <c r="X51" s="53">
        <f>数据表!G21+数据表!F32</f>
        <v>4</v>
      </c>
      <c r="Y51" s="53">
        <f t="shared" si="22"/>
        <v>0.314540191061273</v>
      </c>
      <c r="Z51" s="116">
        <v>6000</v>
      </c>
      <c r="AA51" s="116">
        <v>0</v>
      </c>
      <c r="AB51" s="53">
        <f t="shared" si="23"/>
        <v>471.81028659191</v>
      </c>
      <c r="AC51" s="104">
        <f t="shared" si="24"/>
        <v>0</v>
      </c>
    </row>
    <row r="52" ht="15.6" spans="1:29">
      <c r="A52" s="41" t="s">
        <v>230</v>
      </c>
      <c r="B52" s="40">
        <f>SUM(Y33:Y36)*R29+夜晚模拟!B52</f>
        <v>0.0940988527336553</v>
      </c>
      <c r="C52" s="40">
        <f>SUM(AC33:AC36)*R29+夜晚模拟!C52</f>
        <v>0.324626613260186</v>
      </c>
      <c r="D52" s="40">
        <v>0</v>
      </c>
      <c r="E52" s="40">
        <f>SUM(T33:T36)</f>
        <v>0.00799404398330968</v>
      </c>
      <c r="F52" s="65">
        <f>SUM(S33:S36)*R29+夜晚模拟!F52</f>
        <v>0.299783689695882</v>
      </c>
      <c r="G52" s="119" t="s">
        <v>252</v>
      </c>
      <c r="H52" s="120">
        <v>2</v>
      </c>
      <c r="I52" s="127">
        <f>VLOOKUP(G52,G2:W27,17,0)</f>
        <v>0.0207674537305592</v>
      </c>
      <c r="J52" s="127">
        <f>数据表!T22</f>
        <v>2039.04</v>
      </c>
      <c r="K52" s="127">
        <f t="shared" si="18"/>
        <v>42.3456688547594</v>
      </c>
      <c r="L52" s="127">
        <f>数据表!R22</f>
        <v>3000</v>
      </c>
      <c r="M52" s="128">
        <f t="shared" si="19"/>
        <v>62.3023611916776</v>
      </c>
      <c r="N52" s="129">
        <v>0</v>
      </c>
      <c r="O52" s="130">
        <v>0</v>
      </c>
      <c r="P52" s="131">
        <v>0.018</v>
      </c>
      <c r="Q52" s="136">
        <v>0.4</v>
      </c>
      <c r="R52" s="127">
        <f>数据表!P22*H52</f>
        <v>0</v>
      </c>
      <c r="S52" s="127">
        <f t="shared" si="25"/>
        <v>0</v>
      </c>
      <c r="T52" s="127">
        <f t="shared" si="20"/>
        <v>0</v>
      </c>
      <c r="U52" s="127">
        <f t="shared" si="21"/>
        <v>0.000747628334300131</v>
      </c>
      <c r="V52" s="127">
        <f t="shared" si="26"/>
        <v>0.00830698149222368</v>
      </c>
      <c r="W52" s="127">
        <f t="shared" si="27"/>
        <v>0</v>
      </c>
      <c r="X52" s="127">
        <f>数据表!G22+数据表!F32</f>
        <v>2</v>
      </c>
      <c r="Y52" s="127">
        <f t="shared" si="22"/>
        <v>0.0415349074611184</v>
      </c>
      <c r="Z52" s="139">
        <v>0</v>
      </c>
      <c r="AA52" s="139">
        <v>0</v>
      </c>
      <c r="AB52" s="127">
        <f t="shared" si="23"/>
        <v>0</v>
      </c>
      <c r="AC52" s="140">
        <f t="shared" si="24"/>
        <v>0</v>
      </c>
    </row>
    <row r="53" ht="15.6" spans="1:29">
      <c r="A53" s="41" t="s">
        <v>236</v>
      </c>
      <c r="B53" s="40">
        <f>SUM(Y37:Y40)*R29+夜晚模拟!B53</f>
        <v>8.39990112825772</v>
      </c>
      <c r="C53" s="40">
        <v>0</v>
      </c>
      <c r="D53" s="40">
        <f>SUM(U37:U40)*R29+夜晚模拟!D53</f>
        <v>0.600134303129299</v>
      </c>
      <c r="E53" s="40">
        <v>0</v>
      </c>
      <c r="F53" s="65">
        <v>0</v>
      </c>
      <c r="G53" s="41" t="s">
        <v>253</v>
      </c>
      <c r="H53" s="43">
        <v>2</v>
      </c>
      <c r="I53" s="40">
        <f>VLOOKUP(G53,G2:W27,17,0)</f>
        <v>0.0188261189696457</v>
      </c>
      <c r="J53" s="40">
        <f>数据表!T23</f>
        <v>2378.88</v>
      </c>
      <c r="K53" s="40">
        <f t="shared" si="18"/>
        <v>44.7850778945107</v>
      </c>
      <c r="L53" s="40">
        <f>数据表!R23</f>
        <v>3000</v>
      </c>
      <c r="M53" s="65">
        <f t="shared" si="19"/>
        <v>56.4783569089371</v>
      </c>
      <c r="N53" s="84">
        <v>0</v>
      </c>
      <c r="O53" s="85">
        <v>0</v>
      </c>
      <c r="P53" s="86">
        <v>0.021</v>
      </c>
      <c r="Q53" s="40">
        <v>0.46</v>
      </c>
      <c r="R53" s="40">
        <f>数据表!P23*H53</f>
        <v>0</v>
      </c>
      <c r="S53" s="40">
        <f t="shared" si="25"/>
        <v>0</v>
      </c>
      <c r="T53" s="40">
        <f t="shared" si="20"/>
        <v>0</v>
      </c>
      <c r="U53" s="40">
        <f t="shared" si="21"/>
        <v>0.000790696996725119</v>
      </c>
      <c r="V53" s="40">
        <f t="shared" si="26"/>
        <v>0.00866001472603702</v>
      </c>
      <c r="W53" s="40">
        <f t="shared" si="27"/>
        <v>0</v>
      </c>
      <c r="X53" s="40">
        <f>数据表!G23+数据表!F32</f>
        <v>2</v>
      </c>
      <c r="Y53" s="40">
        <f t="shared" si="22"/>
        <v>0.0376522379392914</v>
      </c>
      <c r="Z53" s="115">
        <v>0</v>
      </c>
      <c r="AA53" s="115">
        <v>0</v>
      </c>
      <c r="AB53" s="40">
        <f t="shared" si="23"/>
        <v>0</v>
      </c>
      <c r="AC53" s="103">
        <f t="shared" si="24"/>
        <v>0</v>
      </c>
    </row>
    <row r="54" ht="15.6" spans="1:29">
      <c r="A54" s="66" t="s">
        <v>241</v>
      </c>
      <c r="B54" s="67">
        <f>SUM(Y41:Y44)*R29+夜晚模拟!B54</f>
        <v>2.53527924580045</v>
      </c>
      <c r="C54" s="67">
        <f>SUM(AC44)*R29+夜晚模拟!C54</f>
        <v>0.400166007395684</v>
      </c>
      <c r="D54" s="67">
        <f>SUM(U41:U44)*R29+夜晚模拟!D54</f>
        <v>0.0416000663650306</v>
      </c>
      <c r="E54" s="67">
        <v>0</v>
      </c>
      <c r="F54" s="68">
        <f>SUM(S41:S44)*R29+夜晚模拟!F54</f>
        <v>2.84573597862959</v>
      </c>
      <c r="G54" s="41" t="s">
        <v>254</v>
      </c>
      <c r="H54" s="43">
        <v>4</v>
      </c>
      <c r="I54" s="40">
        <f>VLOOKUP(G54,G2:W27,17,0)</f>
        <v>0.00115375299647525</v>
      </c>
      <c r="J54" s="40">
        <f>数据表!T24</f>
        <v>6173.76</v>
      </c>
      <c r="K54" s="40">
        <f t="shared" si="18"/>
        <v>7.12299409951902</v>
      </c>
      <c r="L54" s="40">
        <f>数据表!R24</f>
        <v>6000</v>
      </c>
      <c r="M54" s="65">
        <f t="shared" si="19"/>
        <v>6.92251797885148</v>
      </c>
      <c r="N54" s="84">
        <v>0.33</v>
      </c>
      <c r="O54" s="85">
        <v>0.09</v>
      </c>
      <c r="P54" s="86">
        <v>0.023</v>
      </c>
      <c r="Q54" s="40">
        <v>1</v>
      </c>
      <c r="R54" s="40">
        <f>数据表!P24*H54</f>
        <v>0</v>
      </c>
      <c r="S54" s="40">
        <f t="shared" si="25"/>
        <v>0.00152295395534732</v>
      </c>
      <c r="T54" s="40">
        <f t="shared" si="20"/>
        <v>0.000415351078731089</v>
      </c>
      <c r="U54" s="40">
        <f t="shared" si="21"/>
        <v>0.000106145275675723</v>
      </c>
      <c r="V54" s="40">
        <f t="shared" si="26"/>
        <v>0.00115375299647525</v>
      </c>
      <c r="W54" s="40">
        <f t="shared" si="27"/>
        <v>0</v>
      </c>
      <c r="X54" s="40">
        <f>数据表!G24+数据表!F32</f>
        <v>4</v>
      </c>
      <c r="Y54" s="40">
        <f t="shared" si="22"/>
        <v>0.00461501198590098</v>
      </c>
      <c r="Z54" s="115">
        <v>0</v>
      </c>
      <c r="AA54" s="115">
        <v>0</v>
      </c>
      <c r="AB54" s="40">
        <f t="shared" si="23"/>
        <v>0</v>
      </c>
      <c r="AC54" s="103">
        <f t="shared" si="24"/>
        <v>0</v>
      </c>
    </row>
    <row r="55" ht="15.6" spans="1:29">
      <c r="A55" s="66" t="s">
        <v>246</v>
      </c>
      <c r="B55" s="67">
        <f>SUM(Y45:Y48)*R29+夜晚模拟!B55</f>
        <v>2.39725822811419</v>
      </c>
      <c r="C55" s="67">
        <f>SUM(AC48)*R29+夜晚模拟!C55</f>
        <v>0.26806344384228</v>
      </c>
      <c r="D55" s="67">
        <f>SUM(U45:U48)*R29+夜晚模拟!D55</f>
        <v>0.0373317196831481</v>
      </c>
      <c r="E55" s="67">
        <f>SUM(T45:T48)</f>
        <v>0.13582010348735</v>
      </c>
      <c r="F55" s="68">
        <v>0</v>
      </c>
      <c r="G55" s="41" t="s">
        <v>256</v>
      </c>
      <c r="H55" s="43">
        <v>6</v>
      </c>
      <c r="I55" s="40">
        <f>VLOOKUP(G55,G2:W27,17,0)</f>
        <v>0.00076634504300643</v>
      </c>
      <c r="J55" s="40">
        <f>数据表!T25</f>
        <v>4078.08</v>
      </c>
      <c r="K55" s="40">
        <f t="shared" si="18"/>
        <v>3.12521639298366</v>
      </c>
      <c r="L55" s="40">
        <f>数据表!R25</f>
        <v>9000</v>
      </c>
      <c r="M55" s="65">
        <f t="shared" si="19"/>
        <v>6.89710538705787</v>
      </c>
      <c r="N55" s="84">
        <v>0</v>
      </c>
      <c r="O55" s="85">
        <v>0</v>
      </c>
      <c r="P55" s="86">
        <v>0.012</v>
      </c>
      <c r="Q55" s="40">
        <v>0.81</v>
      </c>
      <c r="R55" s="40">
        <f>数据表!P25*H55</f>
        <v>0</v>
      </c>
      <c r="S55" s="40">
        <f t="shared" si="25"/>
        <v>0</v>
      </c>
      <c r="T55" s="40">
        <f t="shared" si="20"/>
        <v>0</v>
      </c>
      <c r="U55" s="40">
        <f t="shared" si="21"/>
        <v>5.5176843096463e-5</v>
      </c>
      <c r="V55" s="40">
        <f t="shared" si="26"/>
        <v>0.000620739484835208</v>
      </c>
      <c r="W55" s="40">
        <f t="shared" si="27"/>
        <v>0</v>
      </c>
      <c r="X55" s="40">
        <f>数据表!G25+数据表!F32</f>
        <v>6</v>
      </c>
      <c r="Y55" s="40">
        <f t="shared" si="22"/>
        <v>0.00459807025803858</v>
      </c>
      <c r="Z55" s="115">
        <v>0</v>
      </c>
      <c r="AA55" s="115">
        <v>0</v>
      </c>
      <c r="AB55" s="40">
        <f t="shared" si="23"/>
        <v>0</v>
      </c>
      <c r="AC55" s="103">
        <f t="shared" si="24"/>
        <v>0</v>
      </c>
    </row>
    <row r="56" ht="15.6" spans="1:29">
      <c r="A56" s="66" t="s">
        <v>251</v>
      </c>
      <c r="B56" s="67">
        <f>SUM(Y49:Y51)*R29+夜晚模拟!B56</f>
        <v>6.36217671983833</v>
      </c>
      <c r="C56" s="67">
        <v>0</v>
      </c>
      <c r="D56" s="67">
        <f>SUM(U49:U51)*R29+夜晚模拟!E56</f>
        <v>0.219598211050321</v>
      </c>
      <c r="E56" s="67">
        <f>SUM(T49:T51)</f>
        <v>0.089897641590936</v>
      </c>
      <c r="F56" s="68">
        <f>SUM(S49:S51)*R29+夜晚模拟!F56</f>
        <v>3.44901819146323</v>
      </c>
      <c r="G56" s="41" t="s">
        <v>257</v>
      </c>
      <c r="H56" s="43">
        <v>8</v>
      </c>
      <c r="I56" s="40">
        <f>VLOOKUP(G56,G2:W27,17,0)</f>
        <v>4.44079344926942e-5</v>
      </c>
      <c r="J56" s="40">
        <f>数据表!T26</f>
        <v>5324.16</v>
      </c>
      <c r="K56" s="40">
        <f t="shared" si="18"/>
        <v>0.236434948508623</v>
      </c>
      <c r="L56" s="40">
        <f>数据表!R26</f>
        <v>12000</v>
      </c>
      <c r="M56" s="65">
        <f t="shared" si="19"/>
        <v>0.53289521391233</v>
      </c>
      <c r="N56" s="84">
        <v>0.07</v>
      </c>
      <c r="O56" s="85">
        <v>0.01</v>
      </c>
      <c r="P56" s="86">
        <v>0.011</v>
      </c>
      <c r="Q56" s="40">
        <v>0.98</v>
      </c>
      <c r="R56" s="40">
        <f>数据表!P26*H56</f>
        <v>0</v>
      </c>
      <c r="S56" s="40">
        <f t="shared" si="25"/>
        <v>2.48684433159087e-5</v>
      </c>
      <c r="T56" s="40">
        <f t="shared" si="20"/>
        <v>3.55263475941553e-6</v>
      </c>
      <c r="U56" s="40">
        <f t="shared" si="21"/>
        <v>3.90789823535709e-6</v>
      </c>
      <c r="V56" s="40">
        <f t="shared" si="26"/>
        <v>4.35197758028403e-5</v>
      </c>
      <c r="W56" s="40">
        <f t="shared" si="27"/>
        <v>0</v>
      </c>
      <c r="X56" s="40">
        <f>数据表!G26+数据表!F32</f>
        <v>8</v>
      </c>
      <c r="Y56" s="40">
        <f t="shared" si="22"/>
        <v>0.000355263475941553</v>
      </c>
      <c r="Z56" s="115">
        <v>0</v>
      </c>
      <c r="AA56" s="115">
        <v>0</v>
      </c>
      <c r="AB56" s="40">
        <f t="shared" si="23"/>
        <v>0</v>
      </c>
      <c r="AC56" s="103">
        <f t="shared" si="24"/>
        <v>0</v>
      </c>
    </row>
    <row r="57" ht="16.35" spans="1:29">
      <c r="A57" s="69" t="s">
        <v>337</v>
      </c>
      <c r="B57" s="70">
        <f>SUM(Y52:Y58)*R29+夜晚模拟!B57</f>
        <v>1.62273857292961</v>
      </c>
      <c r="C57" s="70">
        <v>0</v>
      </c>
      <c r="D57" s="70">
        <f>SUM(U52:U59)*R29+夜晚模拟!E57</f>
        <v>0.0283014283680389</v>
      </c>
      <c r="E57" s="70">
        <f>SUM(T52:T58)</f>
        <v>0.000419579372046522</v>
      </c>
      <c r="F57" s="71">
        <f>SUM(S52:S58)*R29+夜晚模拟!F57</f>
        <v>0.0645533808975335</v>
      </c>
      <c r="G57" s="72" t="s">
        <v>259</v>
      </c>
      <c r="H57" s="73">
        <v>12</v>
      </c>
      <c r="I57" s="87">
        <f>VLOOKUP(G57,G2:W27,17,0)</f>
        <v>2.81524398340817e-6</v>
      </c>
      <c r="J57" s="87">
        <f>数据表!T27</f>
        <v>6740.16</v>
      </c>
      <c r="K57" s="87">
        <f t="shared" si="18"/>
        <v>0.0189751948872084</v>
      </c>
      <c r="L57" s="87">
        <f>数据表!R27</f>
        <v>18000</v>
      </c>
      <c r="M57" s="88">
        <f t="shared" si="19"/>
        <v>0.050674391701347</v>
      </c>
      <c r="N57" s="84">
        <v>0.07</v>
      </c>
      <c r="O57" s="85">
        <v>0.02</v>
      </c>
      <c r="P57" s="86">
        <v>0.009</v>
      </c>
      <c r="Q57" s="40">
        <v>1.14</v>
      </c>
      <c r="R57" s="40">
        <f>数据表!P27*H57</f>
        <v>0</v>
      </c>
      <c r="S57" s="40">
        <f t="shared" si="25"/>
        <v>2.36480494606286e-6</v>
      </c>
      <c r="T57" s="40">
        <f t="shared" si="20"/>
        <v>6.7565855601796e-7</v>
      </c>
      <c r="U57" s="40">
        <f t="shared" si="21"/>
        <v>3.04046350208082e-7</v>
      </c>
      <c r="V57" s="40">
        <f t="shared" si="26"/>
        <v>3.20937814108531e-6</v>
      </c>
      <c r="W57" s="40">
        <f t="shared" si="27"/>
        <v>0</v>
      </c>
      <c r="X57" s="40">
        <f>数据表!G27+数据表!F32</f>
        <v>12</v>
      </c>
      <c r="Y57" s="40">
        <f t="shared" si="22"/>
        <v>3.3782927800898e-5</v>
      </c>
      <c r="Z57" s="115">
        <v>0</v>
      </c>
      <c r="AA57" s="115">
        <v>0</v>
      </c>
      <c r="AB57" s="40">
        <f t="shared" si="23"/>
        <v>0</v>
      </c>
      <c r="AC57" s="103">
        <f t="shared" si="24"/>
        <v>0</v>
      </c>
    </row>
    <row r="58" ht="16.35" spans="1:29">
      <c r="A58" s="32"/>
      <c r="B58" s="32"/>
      <c r="C58" s="32"/>
      <c r="D58" s="32"/>
      <c r="E58" s="32"/>
      <c r="F58" s="32"/>
      <c r="G58" s="74" t="s">
        <v>261</v>
      </c>
      <c r="H58" s="75">
        <v>3</v>
      </c>
      <c r="I58" s="89">
        <f>VLOOKUP(G58,G2:W27,17,0)</f>
        <v>0.00106417181561382</v>
      </c>
      <c r="J58" s="89">
        <f>数据表!T28</f>
        <v>1869.12</v>
      </c>
      <c r="K58" s="89">
        <f t="shared" si="18"/>
        <v>1.9890648240001</v>
      </c>
      <c r="L58" s="89">
        <f>数据表!R28</f>
        <v>4500</v>
      </c>
      <c r="M58" s="90">
        <f t="shared" si="19"/>
        <v>4.78877317026219</v>
      </c>
      <c r="N58" s="91">
        <v>0</v>
      </c>
      <c r="O58" s="92">
        <v>0</v>
      </c>
      <c r="P58" s="93">
        <v>0.011</v>
      </c>
      <c r="Q58" s="53">
        <v>0.35</v>
      </c>
      <c r="R58" s="53">
        <f>数据表!P28*H58</f>
        <v>0</v>
      </c>
      <c r="S58" s="53">
        <f t="shared" si="25"/>
        <v>0</v>
      </c>
      <c r="T58" s="53">
        <f t="shared" si="20"/>
        <v>0</v>
      </c>
      <c r="U58" s="53">
        <f t="shared" si="21"/>
        <v>3.51176699152561e-5</v>
      </c>
      <c r="V58" s="53">
        <f t="shared" si="26"/>
        <v>0.000372460135464837</v>
      </c>
      <c r="W58" s="53">
        <f t="shared" si="27"/>
        <v>0</v>
      </c>
      <c r="X58" s="53">
        <f>数据表!G28+数据表!F32</f>
        <v>3</v>
      </c>
      <c r="Y58" s="53">
        <f t="shared" si="22"/>
        <v>0.00319251544684146</v>
      </c>
      <c r="Z58" s="116">
        <v>0</v>
      </c>
      <c r="AA58" s="116">
        <v>0</v>
      </c>
      <c r="AB58" s="53">
        <f t="shared" si="23"/>
        <v>0</v>
      </c>
      <c r="AC58" s="104">
        <f t="shared" si="24"/>
        <v>0</v>
      </c>
    </row>
    <row r="59" ht="15.6" spans="1:31">
      <c r="A59" s="32"/>
      <c r="B59" s="32"/>
      <c r="C59" s="32"/>
      <c r="D59" s="32"/>
      <c r="E59" s="32"/>
      <c r="F59" s="32"/>
      <c r="G59" s="54" t="s">
        <v>338</v>
      </c>
      <c r="H59" s="32" t="s">
        <v>339</v>
      </c>
      <c r="I59" s="32">
        <f t="shared" ref="I59:M59" si="28">SUM(I33:I58)</f>
        <v>0.999998571419929</v>
      </c>
      <c r="J59" s="32" t="s">
        <v>340</v>
      </c>
      <c r="K59" s="32">
        <f t="shared" si="28"/>
        <v>5181.22362648434</v>
      </c>
      <c r="L59" s="32" t="s">
        <v>341</v>
      </c>
      <c r="M59" s="32">
        <f t="shared" si="28"/>
        <v>3022.15849741446</v>
      </c>
      <c r="N59" s="94" t="s">
        <v>342</v>
      </c>
      <c r="O59" s="95"/>
      <c r="P59" s="96"/>
      <c r="R59" s="97"/>
      <c r="S59" s="62" t="s">
        <v>73</v>
      </c>
      <c r="T59" s="62" t="s">
        <v>78</v>
      </c>
      <c r="U59" s="62" t="s">
        <v>89</v>
      </c>
      <c r="V59" s="40" t="s">
        <v>335</v>
      </c>
      <c r="W59" s="40" t="s">
        <v>120</v>
      </c>
      <c r="X59" s="105">
        <f>SUM(Y33:Y58)</f>
        <v>1.94828625022356</v>
      </c>
      <c r="Y59" s="106"/>
      <c r="AA59" s="106"/>
      <c r="AB59" s="106"/>
      <c r="AC59" s="107"/>
      <c r="AD59" s="32"/>
      <c r="AE59" s="32"/>
    </row>
    <row r="60" ht="15.15" spans="1:31">
      <c r="A60" s="32"/>
      <c r="B60" s="32"/>
      <c r="C60" s="32"/>
      <c r="D60" s="32"/>
      <c r="E60" s="32"/>
      <c r="F60" s="32"/>
      <c r="G60" s="56"/>
      <c r="H60" s="57"/>
      <c r="I60" s="57"/>
      <c r="J60" s="57" t="s">
        <v>343</v>
      </c>
      <c r="K60" s="57">
        <f>K59/M59*100</f>
        <v>171.441161372476</v>
      </c>
      <c r="L60" s="57"/>
      <c r="M60" s="57"/>
      <c r="N60" s="97" t="s">
        <v>344</v>
      </c>
      <c r="O60" s="76">
        <f>R29+1</f>
        <v>9.96444756327839</v>
      </c>
      <c r="P60" s="98" t="s">
        <v>345</v>
      </c>
      <c r="R60" s="54" t="s">
        <v>346</v>
      </c>
      <c r="S60" s="32">
        <f>SUM(S33:S58)*R29</f>
        <v>5.45706420026053</v>
      </c>
      <c r="T60" s="32">
        <f>SUM(T33:T58)*R29</f>
        <v>2.098858375242</v>
      </c>
      <c r="U60" s="32">
        <f>SUM(U33:U58)*R29</f>
        <v>0.739578935460567</v>
      </c>
      <c r="V60" s="32">
        <f>SUM(V33:V58)*R29</f>
        <v>6.47764635843632</v>
      </c>
      <c r="W60" s="32">
        <f>SUM(W33:W58)*R29</f>
        <v>4.5416253609681</v>
      </c>
      <c r="X60" s="56"/>
      <c r="Y60" s="57"/>
      <c r="AA60" s="57" t="s">
        <v>347</v>
      </c>
      <c r="AB60" s="57">
        <f>SUM(AB33:AB58)*R29</f>
        <v>13584.0940939662</v>
      </c>
      <c r="AC60" s="112">
        <f>SUM(AC33:AC58)*R29</f>
        <v>0.918208016713809</v>
      </c>
      <c r="AD60" s="32"/>
      <c r="AE60" s="32"/>
    </row>
    <row r="61" spans="1:31">
      <c r="A61" s="32"/>
      <c r="B61" s="32"/>
      <c r="C61" s="32"/>
      <c r="D61" s="32"/>
      <c r="E61" s="32"/>
      <c r="F61" s="32"/>
      <c r="G61" s="32"/>
      <c r="H61" s="32"/>
      <c r="I61" s="32"/>
      <c r="J61" s="32"/>
      <c r="K61" s="32"/>
      <c r="L61" s="32"/>
      <c r="M61" s="32"/>
      <c r="N61" s="97" t="s">
        <v>348</v>
      </c>
      <c r="O61" s="76">
        <f>1-T28</f>
        <v>0.589009299507073</v>
      </c>
      <c r="P61" s="98"/>
      <c r="R61" s="54" t="s">
        <v>349</v>
      </c>
      <c r="S61" s="32"/>
      <c r="T61" s="32"/>
      <c r="U61" s="32"/>
      <c r="V61" s="32"/>
      <c r="W61" s="55"/>
      <c r="X61" s="32"/>
      <c r="Y61" s="32"/>
      <c r="Z61" s="32"/>
      <c r="AA61" s="32"/>
      <c r="AB61" s="32"/>
      <c r="AC61" s="32"/>
      <c r="AD61" s="32"/>
      <c r="AE61" s="32"/>
    </row>
    <row r="62" spans="1:31">
      <c r="A62" s="32"/>
      <c r="B62" s="32"/>
      <c r="C62" s="32"/>
      <c r="D62" s="32"/>
      <c r="E62" s="32"/>
      <c r="F62" s="32"/>
      <c r="G62" s="76"/>
      <c r="H62" s="76"/>
      <c r="I62" s="76"/>
      <c r="J62" s="76"/>
      <c r="K62" s="76"/>
      <c r="L62" s="76"/>
      <c r="M62" s="32"/>
      <c r="N62" s="97" t="s">
        <v>350</v>
      </c>
      <c r="O62" s="76">
        <f>V28</f>
        <v>0.257498837164103</v>
      </c>
      <c r="P62" s="98"/>
      <c r="R62" s="54" t="s">
        <v>351</v>
      </c>
      <c r="S62" s="32">
        <f>M59/X59</f>
        <v>1551.18812600955</v>
      </c>
      <c r="T62" s="32"/>
      <c r="U62" s="32"/>
      <c r="V62" s="32"/>
      <c r="W62" s="55"/>
      <c r="X62" s="32"/>
      <c r="Y62" s="32"/>
      <c r="Z62" s="32"/>
      <c r="AA62" s="32"/>
      <c r="AB62" s="32"/>
      <c r="AC62" s="32"/>
      <c r="AD62" s="32"/>
      <c r="AE62" s="32"/>
    </row>
    <row r="63" ht="15.15" spans="1:31">
      <c r="A63" s="32"/>
      <c r="B63" s="32"/>
      <c r="C63" s="32"/>
      <c r="D63" s="32"/>
      <c r="E63" s="32"/>
      <c r="F63" s="32"/>
      <c r="G63" s="76"/>
      <c r="H63" s="76"/>
      <c r="I63" s="76"/>
      <c r="J63" s="76"/>
      <c r="K63" s="76"/>
      <c r="L63" s="76"/>
      <c r="M63" s="32"/>
      <c r="N63" s="99" t="s">
        <v>352</v>
      </c>
      <c r="O63" s="100"/>
      <c r="P63" s="101">
        <f>O62</f>
        <v>0.257498837164103</v>
      </c>
      <c r="R63" s="56" t="s">
        <v>353</v>
      </c>
      <c r="S63" s="57">
        <f>K59/X59</f>
        <v>2659.37493830273</v>
      </c>
      <c r="T63" s="57"/>
      <c r="U63" s="57"/>
      <c r="V63" s="57"/>
      <c r="W63" s="112"/>
      <c r="X63" s="32"/>
      <c r="Y63" s="32"/>
      <c r="Z63" s="32"/>
      <c r="AA63" s="32"/>
      <c r="AB63" s="32"/>
      <c r="AC63" s="32"/>
      <c r="AD63" s="32"/>
      <c r="AE63" s="32"/>
    </row>
    <row r="64" spans="1:31">
      <c r="A64" s="32"/>
      <c r="B64" s="32"/>
      <c r="C64" s="32"/>
      <c r="D64" s="32"/>
      <c r="E64" s="32"/>
      <c r="F64" s="32"/>
      <c r="M64" s="32"/>
      <c r="N64" s="32"/>
      <c r="O64" s="32"/>
      <c r="P64" s="32"/>
      <c r="Q64" s="32"/>
      <c r="R64" s="32"/>
      <c r="S64" s="32"/>
      <c r="T64" s="32"/>
      <c r="U64" s="32"/>
      <c r="V64" s="32"/>
      <c r="W64" s="32"/>
      <c r="X64" s="32"/>
      <c r="Y64" s="32"/>
      <c r="Z64" s="32"/>
      <c r="AA64" s="32"/>
      <c r="AB64" s="32"/>
      <c r="AC64" s="32"/>
      <c r="AD64" s="32"/>
      <c r="AE64" s="32"/>
    </row>
    <row r="70" spans="6:13">
      <c r="F70" s="76"/>
      <c r="G70" s="76"/>
      <c r="H70" s="76"/>
      <c r="I70" s="76"/>
      <c r="J70" s="76"/>
      <c r="K70" s="76"/>
      <c r="L70" s="76"/>
      <c r="M70" s="76"/>
    </row>
    <row r="71" spans="6:13">
      <c r="F71" s="76"/>
      <c r="G71" s="76"/>
      <c r="H71" s="76"/>
      <c r="I71" s="76"/>
      <c r="J71" s="76"/>
      <c r="K71" s="76"/>
      <c r="L71" s="76"/>
      <c r="M71" s="76"/>
    </row>
    <row r="72" spans="6:13">
      <c r="F72" s="76"/>
      <c r="J72" s="76"/>
      <c r="K72" s="76"/>
      <c r="L72" s="76"/>
      <c r="M72" s="76"/>
    </row>
    <row r="73" spans="6:13">
      <c r="F73" s="76"/>
      <c r="J73" s="76"/>
      <c r="K73" s="142"/>
      <c r="L73" s="76"/>
      <c r="M73" s="76"/>
    </row>
    <row r="74" spans="6:13">
      <c r="F74" s="76"/>
      <c r="J74" s="76"/>
      <c r="K74" s="76"/>
      <c r="L74" s="76"/>
      <c r="M74" s="76"/>
    </row>
    <row r="75" spans="6:13">
      <c r="F75" s="76"/>
      <c r="J75" s="76"/>
      <c r="K75" s="76"/>
      <c r="L75" s="76"/>
      <c r="M75" s="76"/>
    </row>
    <row r="76" spans="6:13">
      <c r="F76" s="76"/>
      <c r="J76" s="76"/>
      <c r="K76" s="76"/>
      <c r="L76" s="76"/>
      <c r="M76" s="76"/>
    </row>
    <row r="77" spans="6:13">
      <c r="F77" s="76"/>
      <c r="G77" s="76"/>
      <c r="H77" s="76"/>
      <c r="I77" s="76"/>
      <c r="J77" s="76"/>
      <c r="K77" s="76"/>
      <c r="L77" s="76"/>
      <c r="M77" s="76"/>
    </row>
    <row r="78" spans="6:13">
      <c r="F78" s="76"/>
      <c r="G78" s="76"/>
      <c r="H78" s="76"/>
      <c r="I78" s="76"/>
      <c r="J78" s="76"/>
      <c r="K78" s="76"/>
      <c r="L78" s="76"/>
      <c r="M78" s="76"/>
    </row>
    <row r="79" spans="6:13">
      <c r="F79" s="76"/>
      <c r="G79" s="76"/>
      <c r="H79" s="76"/>
      <c r="I79" s="76"/>
      <c r="J79" s="76"/>
      <c r="K79" s="76"/>
      <c r="L79" s="76"/>
      <c r="M79" s="76"/>
    </row>
    <row r="80" spans="6:13">
      <c r="F80" s="76"/>
      <c r="G80" s="76"/>
      <c r="H80" s="76"/>
      <c r="I80" s="76"/>
      <c r="J80" s="76"/>
      <c r="K80" s="76"/>
      <c r="L80" s="76"/>
      <c r="M80" s="76"/>
    </row>
    <row r="81" spans="6:13">
      <c r="F81" s="76"/>
      <c r="G81" s="76"/>
      <c r="H81" s="76"/>
      <c r="I81" s="76"/>
      <c r="J81" s="76"/>
      <c r="K81" s="76"/>
      <c r="L81" s="76"/>
      <c r="M81" s="76"/>
    </row>
    <row r="82" spans="6:13">
      <c r="F82" s="76"/>
      <c r="G82" s="76"/>
      <c r="H82" s="76"/>
      <c r="I82" s="76"/>
      <c r="J82" s="76"/>
      <c r="K82" s="76"/>
      <c r="L82" s="76"/>
      <c r="M82" s="76"/>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ignoredErrors>
    <ignoredError sqref="Q3:Q2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opLeftCell="H19" workbookViewId="0">
      <selection activeCell="C8" sqref="C8"/>
    </sheetView>
  </sheetViews>
  <sheetFormatPr defaultColWidth="8.88888888888889" defaultRowHeight="14.4"/>
  <cols>
    <col min="5" max="5" width="9.44444444444444" customWidth="1"/>
    <col min="7" max="7" width="17.6666666666667" customWidth="1"/>
    <col min="16" max="16" width="10.3333333333333" customWidth="1"/>
    <col min="18" max="18" width="12.8888888888889"/>
    <col min="20" max="22" width="12.8888888888889"/>
    <col min="24" max="24" width="12.8888888888889"/>
  </cols>
  <sheetData>
    <row r="1" ht="16.35" spans="1:30">
      <c r="A1" s="32"/>
      <c r="B1" s="32"/>
      <c r="C1" s="32"/>
      <c r="D1" s="32"/>
      <c r="E1" s="32"/>
      <c r="F1" s="33"/>
      <c r="G1" s="34"/>
      <c r="H1" s="34"/>
      <c r="I1" s="77" t="s">
        <v>303</v>
      </c>
      <c r="J1" s="77" t="s">
        <v>304</v>
      </c>
      <c r="K1" s="77" t="s">
        <v>305</v>
      </c>
      <c r="L1" s="77" t="s">
        <v>306</v>
      </c>
      <c r="M1" s="77" t="s">
        <v>307</v>
      </c>
      <c r="N1" s="77" t="s">
        <v>308</v>
      </c>
      <c r="O1" s="77" t="s">
        <v>309</v>
      </c>
      <c r="P1" s="34" t="s">
        <v>310</v>
      </c>
      <c r="Q1" s="34" t="s">
        <v>311</v>
      </c>
      <c r="R1" s="34"/>
      <c r="S1" s="34"/>
      <c r="T1" s="34"/>
      <c r="U1" s="34" t="s">
        <v>313</v>
      </c>
      <c r="V1" s="34"/>
      <c r="W1" s="102" t="s">
        <v>314</v>
      </c>
      <c r="X1" s="32" t="s">
        <v>315</v>
      </c>
      <c r="Y1" s="32" t="s">
        <v>316</v>
      </c>
      <c r="Z1" s="32" t="s">
        <v>317</v>
      </c>
      <c r="AA1" s="32" t="s">
        <v>318</v>
      </c>
      <c r="AB1" s="32"/>
      <c r="AC1" s="32"/>
      <c r="AD1" s="32"/>
    </row>
    <row r="2" ht="15.6" spans="1:30">
      <c r="A2" s="33">
        <f>数据表!I3</f>
        <v>24</v>
      </c>
      <c r="B2" s="35" t="s">
        <v>212</v>
      </c>
      <c r="C2" s="36">
        <v>1</v>
      </c>
      <c r="D2" s="37">
        <v>3995</v>
      </c>
      <c r="E2" s="38">
        <f t="shared" ref="E2:E9" si="0">D2</f>
        <v>3995</v>
      </c>
      <c r="F2" s="39">
        <v>1</v>
      </c>
      <c r="G2" s="40" t="str">
        <f>VLOOKUP(1,数据表!C1:D26,2,0)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SUMIF(F2:F27,"&lt;="&amp;'倾向-优先级表'!N14,O2:O27)</f>
        <v>0.785574117413755</v>
      </c>
      <c r="Q2" s="40">
        <f>IF(VLOOKUP(1,A2:C27,3,0)&gt;(24-'倾向-优先级表'!J13),VLOOKUP(1,A2:C27,3,0),24-'倾向-优先级表'!J13)</f>
        <v>6</v>
      </c>
      <c r="R2" s="40">
        <f t="shared" ref="R2:R27" si="5">Q2*O2</f>
        <v>0.258457999969403</v>
      </c>
      <c r="S2" s="40">
        <f>R29</f>
        <v>1</v>
      </c>
      <c r="T2" s="40">
        <f>'倾向-优先级表'!N14</f>
        <v>13</v>
      </c>
      <c r="U2" s="40">
        <f>V28</f>
        <v>0.402694395184916</v>
      </c>
      <c r="V2" s="40">
        <f t="shared" ref="V2:V27" si="6">IF(F2&lt;=T2,O2,0)</f>
        <v>0.0430763333282339</v>
      </c>
      <c r="W2" s="103">
        <f t="shared" ref="W2:W27" si="7">V2/P2*(1-U2)+U2*O2</f>
        <v>0.0500993768386323</v>
      </c>
      <c r="X2" s="32">
        <f>VLOOKUP(G2,G33:L58,6,0)</f>
        <v>9000</v>
      </c>
      <c r="Y2" s="32">
        <f>VLOOKUP(G2,G33:L58,4,0)</f>
        <v>23109.12</v>
      </c>
      <c r="Z2" s="32">
        <f t="shared" ref="Z2:Z27" si="8">X2*O2</f>
        <v>387.686999954105</v>
      </c>
      <c r="AA2" s="32">
        <f t="shared" ref="AA2:AA27" si="9">Y2*O2</f>
        <v>995.456156042157</v>
      </c>
      <c r="AB2" s="32"/>
      <c r="AC2" s="32"/>
      <c r="AD2" s="32"/>
    </row>
    <row r="3" ht="15.6" spans="1:30">
      <c r="A3" s="41">
        <f>数据表!I4</f>
        <v>25</v>
      </c>
      <c r="B3" s="42" t="s">
        <v>218</v>
      </c>
      <c r="C3" s="43">
        <v>2</v>
      </c>
      <c r="D3" s="44">
        <v>2649</v>
      </c>
      <c r="E3" s="45">
        <f t="shared" si="0"/>
        <v>2649</v>
      </c>
      <c r="F3" s="39">
        <v>2</v>
      </c>
      <c r="G3" s="40" t="str">
        <f>VLOOKUP(2,数据表!C1:D26,2,0)</f>
        <v>舰装解析4h</v>
      </c>
      <c r="H3" s="40">
        <f>VLOOKUP(G3,B2:E27,4,0)</f>
        <v>861</v>
      </c>
      <c r="I3" s="78">
        <f t="shared" ref="I3:I27" si="10">I2-H2</f>
        <v>36228.67</v>
      </c>
      <c r="J3" s="78">
        <f t="shared" si="1"/>
        <v>0.0237657082084438</v>
      </c>
      <c r="K3" s="78">
        <f t="shared" si="2"/>
        <v>0.00792190273614792</v>
      </c>
      <c r="L3" s="78">
        <f t="shared" si="3"/>
        <v>0.915701445434625</v>
      </c>
      <c r="M3" s="78">
        <f t="shared" si="4"/>
        <v>0.0842985545653748</v>
      </c>
      <c r="N3" s="78">
        <f t="shared" ref="N3:N27" si="11">L3*N2</f>
        <v>0.876256384741938</v>
      </c>
      <c r="O3" s="78">
        <f t="shared" ref="O3:O27" si="12">M3*N2</f>
        <v>0.0806672819298284</v>
      </c>
      <c r="P3" s="40">
        <f t="shared" ref="P3:U3" si="13">P2</f>
        <v>0.785574117413755</v>
      </c>
      <c r="Q3" s="40">
        <f>IF(VLOOKUP(2,A2:C27,3,0)&gt;(24-'倾向-优先级表'!J13),VLOOKUP(2,A2:C27,3,0),24-'倾向-优先级表'!J13)</f>
        <v>6</v>
      </c>
      <c r="R3" s="40">
        <f t="shared" si="5"/>
        <v>0.484003691578971</v>
      </c>
      <c r="S3" s="40">
        <f t="shared" si="13"/>
        <v>1</v>
      </c>
      <c r="T3" s="40">
        <f t="shared" si="13"/>
        <v>13</v>
      </c>
      <c r="U3" s="40">
        <f t="shared" si="13"/>
        <v>0.402694395184916</v>
      </c>
      <c r="V3" s="40">
        <f t="shared" si="6"/>
        <v>0.0806672819298284</v>
      </c>
      <c r="W3" s="103">
        <f t="shared" si="7"/>
        <v>0.0938190473445378</v>
      </c>
      <c r="X3" s="32">
        <f>VLOOKUP(G3,G33:L58,6,0)</f>
        <v>9000</v>
      </c>
      <c r="Y3" s="32">
        <f>VLOOKUP(G3,G33:L58,4,0)</f>
        <v>11554.56</v>
      </c>
      <c r="Z3" s="32">
        <f t="shared" si="8"/>
        <v>726.005537368456</v>
      </c>
      <c r="AA3" s="32">
        <f t="shared" si="9"/>
        <v>932.074949095118</v>
      </c>
      <c r="AB3" s="32"/>
      <c r="AC3" s="32"/>
      <c r="AD3" s="32"/>
    </row>
    <row r="4" ht="15.6" spans="1:30">
      <c r="A4" s="41">
        <f>数据表!I5</f>
        <v>26</v>
      </c>
      <c r="B4" s="42" t="s">
        <v>229</v>
      </c>
      <c r="C4" s="43">
        <v>4</v>
      </c>
      <c r="D4" s="44">
        <v>591</v>
      </c>
      <c r="E4" s="45">
        <f t="shared" si="0"/>
        <v>591</v>
      </c>
      <c r="F4" s="39">
        <v>3</v>
      </c>
      <c r="G4" s="40" t="str">
        <f>VLOOKUP(3,数据表!C1:D26,2,0)</f>
        <v>彩船定向0.5h</v>
      </c>
      <c r="H4" s="40">
        <f>VLOOKUP(G4,B2:E27,4,0)</f>
        <v>51.6</v>
      </c>
      <c r="I4" s="78">
        <f t="shared" si="10"/>
        <v>35367.67</v>
      </c>
      <c r="J4" s="78">
        <f t="shared" si="1"/>
        <v>0.00145895955260836</v>
      </c>
      <c r="K4" s="78">
        <f t="shared" si="2"/>
        <v>0.000486319850869452</v>
      </c>
      <c r="L4" s="78">
        <f t="shared" si="3"/>
        <v>0.99466135061522</v>
      </c>
      <c r="M4" s="78">
        <f t="shared" si="4"/>
        <v>0.00533864938478013</v>
      </c>
      <c r="N4" s="78">
        <f t="shared" si="11"/>
        <v>0.871578359132625</v>
      </c>
      <c r="O4" s="78">
        <f t="shared" si="12"/>
        <v>0.0046780256093122</v>
      </c>
      <c r="P4" s="40">
        <f t="shared" ref="P4:U4" si="14">P3</f>
        <v>0.785574117413755</v>
      </c>
      <c r="Q4" s="40">
        <f>IF(VLOOKUP(3,A2:C27,3,0)&gt;(24-'倾向-优先级表'!J13),VLOOKUP(3,A2:C27,3,0),24-'倾向-优先级表'!J13)</f>
        <v>6</v>
      </c>
      <c r="R4" s="40">
        <f t="shared" si="5"/>
        <v>0.0280681536558732</v>
      </c>
      <c r="S4" s="40">
        <f t="shared" si="14"/>
        <v>1</v>
      </c>
      <c r="T4" s="40">
        <f t="shared" si="14"/>
        <v>13</v>
      </c>
      <c r="U4" s="40">
        <f t="shared" si="14"/>
        <v>0.402694395184916</v>
      </c>
      <c r="V4" s="40">
        <f t="shared" si="6"/>
        <v>0.0046780256093122</v>
      </c>
      <c r="W4" s="103">
        <f t="shared" si="7"/>
        <v>0.00544071766916363</v>
      </c>
      <c r="X4" s="32">
        <f>VLOOKUP(G4,G33:L58,6,0)</f>
        <v>14000</v>
      </c>
      <c r="Y4" s="32">
        <f>VLOOKUP(G4,G33:L58,4,0)</f>
        <v>12635.44</v>
      </c>
      <c r="Z4" s="32">
        <f t="shared" si="8"/>
        <v>65.4923585303708</v>
      </c>
      <c r="AA4" s="32">
        <f t="shared" si="9"/>
        <v>59.1089119049278</v>
      </c>
      <c r="AB4" s="32"/>
      <c r="AC4" s="32"/>
      <c r="AD4" s="32"/>
    </row>
    <row r="5" ht="15.6" spans="1:30">
      <c r="A5" s="41">
        <f>数据表!I6</f>
        <v>22</v>
      </c>
      <c r="B5" s="42" t="s">
        <v>231</v>
      </c>
      <c r="C5" s="43">
        <v>0.5</v>
      </c>
      <c r="D5" s="44">
        <v>44</v>
      </c>
      <c r="E5" s="45">
        <f t="shared" si="0"/>
        <v>44</v>
      </c>
      <c r="F5" s="39">
        <v>4</v>
      </c>
      <c r="G5" s="40" t="str">
        <f>VLOOKUP(4,数据表!C1:D26,2,0)</f>
        <v>金船定向0.5h</v>
      </c>
      <c r="H5" s="40">
        <f>VLOOKUP(G5,B2:E27,4,0)</f>
        <v>77.4</v>
      </c>
      <c r="I5" s="78">
        <f t="shared" si="10"/>
        <v>35316.07</v>
      </c>
      <c r="J5" s="78">
        <f t="shared" si="1"/>
        <v>0.00219163683841379</v>
      </c>
      <c r="K5" s="78">
        <f t="shared" si="2"/>
        <v>0.000730545612804596</v>
      </c>
      <c r="L5" s="78">
        <f t="shared" si="3"/>
        <v>0.991988513249172</v>
      </c>
      <c r="M5" s="78">
        <f t="shared" si="4"/>
        <v>0.00801148675082819</v>
      </c>
      <c r="N5" s="78">
        <f t="shared" si="11"/>
        <v>0.864595720656126</v>
      </c>
      <c r="O5" s="78">
        <f t="shared" si="12"/>
        <v>0.0069826384764996</v>
      </c>
      <c r="P5" s="40">
        <f t="shared" ref="P5:U5" si="15">P4</f>
        <v>0.785574117413755</v>
      </c>
      <c r="Q5" s="40">
        <f>IF(VLOOKUP(4,A2:C27,3,0)&gt;(24-'倾向-优先级表'!J13),VLOOKUP(4,A2:C27,3,0),24-'倾向-优先级表'!J13)</f>
        <v>6</v>
      </c>
      <c r="R5" s="40">
        <f t="shared" si="5"/>
        <v>0.0418958308589976</v>
      </c>
      <c r="S5" s="40">
        <f t="shared" si="15"/>
        <v>1</v>
      </c>
      <c r="T5" s="40">
        <f t="shared" si="15"/>
        <v>13</v>
      </c>
      <c r="U5" s="40">
        <f t="shared" si="15"/>
        <v>0.402694395184916</v>
      </c>
      <c r="V5" s="40">
        <f t="shared" si="6"/>
        <v>0.0069826384764996</v>
      </c>
      <c r="W5" s="103">
        <f t="shared" si="7"/>
        <v>0.00812106809779925</v>
      </c>
      <c r="X5" s="32">
        <f>VLOOKUP(G5,G33:L58,6,0)</f>
        <v>14000</v>
      </c>
      <c r="Y5" s="32">
        <f>VLOOKUP(G5,G33:L58,4,0)</f>
        <v>11235.96</v>
      </c>
      <c r="Z5" s="32">
        <f t="shared" si="8"/>
        <v>97.7569386709944</v>
      </c>
      <c r="AA5" s="32">
        <f t="shared" si="9"/>
        <v>78.4566466164105</v>
      </c>
      <c r="AB5" s="32"/>
      <c r="AC5" s="32"/>
      <c r="AD5" s="32"/>
    </row>
    <row r="6" ht="15.6" spans="1:30">
      <c r="A6" s="41">
        <f>数据表!I7</f>
        <v>16</v>
      </c>
      <c r="B6" s="42" t="s">
        <v>232</v>
      </c>
      <c r="C6" s="43">
        <v>1</v>
      </c>
      <c r="D6" s="44">
        <v>3173</v>
      </c>
      <c r="E6" s="45">
        <f t="shared" si="0"/>
        <v>3173</v>
      </c>
      <c r="F6" s="39">
        <v>5</v>
      </c>
      <c r="G6" s="40" t="str">
        <f>VLOOKUP(5,数据表!C1:D26,2,0)</f>
        <v>资金募集4h</v>
      </c>
      <c r="H6" s="40">
        <f>VLOOKUP(G6,B2:E27,4,0)</f>
        <v>1793</v>
      </c>
      <c r="I6" s="78">
        <f t="shared" si="10"/>
        <v>35238.67</v>
      </c>
      <c r="J6" s="78">
        <f t="shared" si="1"/>
        <v>0.0508816025122401</v>
      </c>
      <c r="K6" s="78">
        <f t="shared" si="2"/>
        <v>0.0169605341707467</v>
      </c>
      <c r="L6" s="78">
        <f t="shared" si="3"/>
        <v>0.826234038291274</v>
      </c>
      <c r="M6" s="78">
        <f t="shared" si="4"/>
        <v>0.173765961708726</v>
      </c>
      <c r="N6" s="78">
        <f t="shared" si="11"/>
        <v>0.714358413767065</v>
      </c>
      <c r="O6" s="78">
        <f t="shared" si="12"/>
        <v>0.150237306889061</v>
      </c>
      <c r="P6" s="40">
        <f t="shared" ref="P6:U6" si="16">P5</f>
        <v>0.785574117413755</v>
      </c>
      <c r="Q6" s="40">
        <f>IF(VLOOKUP(5,A2:C27,3,0)&gt;(24-'倾向-优先级表'!J13),VLOOKUP(5,A2:C27,3,0),24-'倾向-优先级表'!J13)</f>
        <v>6</v>
      </c>
      <c r="R6" s="40">
        <f t="shared" si="5"/>
        <v>0.901423841334366</v>
      </c>
      <c r="S6" s="40">
        <f t="shared" si="16"/>
        <v>1</v>
      </c>
      <c r="T6" s="40">
        <f t="shared" si="16"/>
        <v>13</v>
      </c>
      <c r="U6" s="40">
        <f t="shared" si="16"/>
        <v>0.402694395184916</v>
      </c>
      <c r="V6" s="40">
        <f t="shared" si="6"/>
        <v>0.150237306889061</v>
      </c>
      <c r="W6" s="103">
        <f t="shared" si="7"/>
        <v>0.174731572339351</v>
      </c>
      <c r="X6" s="32">
        <f>VLOOKUP(G6,G33:L58,6,0)</f>
        <v>9000</v>
      </c>
      <c r="Y6" s="32">
        <f>VLOOKUP(G6,G33:L58,4,0)</f>
        <v>7400.96</v>
      </c>
      <c r="Z6" s="32">
        <f t="shared" si="8"/>
        <v>1352.13576200155</v>
      </c>
      <c r="AA6" s="32">
        <f t="shared" si="9"/>
        <v>1111.90029879366</v>
      </c>
      <c r="AB6" s="32"/>
      <c r="AC6" s="32"/>
      <c r="AD6" s="32"/>
    </row>
    <row r="7" ht="15.6" spans="1:30">
      <c r="A7" s="41">
        <f>数据表!I8</f>
        <v>9</v>
      </c>
      <c r="B7" s="42" t="s">
        <v>233</v>
      </c>
      <c r="C7" s="43">
        <v>2</v>
      </c>
      <c r="D7" s="44">
        <v>1588</v>
      </c>
      <c r="E7" s="45">
        <f t="shared" si="0"/>
        <v>1588</v>
      </c>
      <c r="F7" s="39">
        <v>6</v>
      </c>
      <c r="G7" s="40" t="str">
        <f>VLOOKUP(6,数据表!C1:D26,2,0)</f>
        <v>彩船定向8h</v>
      </c>
      <c r="H7" s="40">
        <f>VLOOKUP(G7,B2:E27,4,0)</f>
        <v>286.4</v>
      </c>
      <c r="I7" s="78">
        <f t="shared" si="10"/>
        <v>33445.67</v>
      </c>
      <c r="J7" s="78">
        <f t="shared" si="1"/>
        <v>0.00856314135731172</v>
      </c>
      <c r="K7" s="78">
        <f t="shared" si="2"/>
        <v>0.00285438045243724</v>
      </c>
      <c r="L7" s="78">
        <f t="shared" si="3"/>
        <v>0.96897451178959</v>
      </c>
      <c r="M7" s="78">
        <f t="shared" si="4"/>
        <v>0.0310254882104095</v>
      </c>
      <c r="N7" s="78">
        <f t="shared" si="11"/>
        <v>0.692195095222728</v>
      </c>
      <c r="O7" s="78">
        <f t="shared" si="12"/>
        <v>0.0221633185443369</v>
      </c>
      <c r="P7" s="40">
        <f t="shared" ref="P7:U7" si="17">P6</f>
        <v>0.785574117413755</v>
      </c>
      <c r="Q7" s="40">
        <f>IF(VLOOKUP(6,A2:C27,3,0)&gt;(24-'倾向-优先级表'!J13),VLOOKUP(6,A2:C27,3,0),24-'倾向-优先级表'!J13)</f>
        <v>8</v>
      </c>
      <c r="R7" s="40">
        <f t="shared" si="5"/>
        <v>0.177306548354695</v>
      </c>
      <c r="S7" s="40">
        <f t="shared" si="17"/>
        <v>1</v>
      </c>
      <c r="T7" s="40">
        <f t="shared" si="17"/>
        <v>13</v>
      </c>
      <c r="U7" s="40">
        <f t="shared" si="17"/>
        <v>0.402694395184916</v>
      </c>
      <c r="V7" s="40">
        <f t="shared" si="6"/>
        <v>0.0221633185443369</v>
      </c>
      <c r="W7" s="103">
        <f t="shared" si="7"/>
        <v>0.0257767632933512</v>
      </c>
      <c r="X7" s="32">
        <f>VLOOKUP(G7,G33:L58,6,0)</f>
        <v>12000</v>
      </c>
      <c r="Y7" s="32">
        <f>VLOOKUP(G7,G33:L58,4,0)</f>
        <v>8835.84</v>
      </c>
      <c r="Z7" s="32">
        <f t="shared" si="8"/>
        <v>265.959822532043</v>
      </c>
      <c r="AA7" s="32">
        <f t="shared" si="9"/>
        <v>195.831536526794</v>
      </c>
      <c r="AB7" s="32"/>
      <c r="AC7" s="32"/>
      <c r="AD7" s="32"/>
    </row>
    <row r="8" ht="15.6" spans="1:30">
      <c r="A8" s="41">
        <f>数据表!I9</f>
        <v>2</v>
      </c>
      <c r="B8" s="42" t="s">
        <v>235</v>
      </c>
      <c r="C8" s="43">
        <v>4</v>
      </c>
      <c r="D8" s="44">
        <v>861</v>
      </c>
      <c r="E8" s="45">
        <f t="shared" si="0"/>
        <v>861</v>
      </c>
      <c r="F8" s="39">
        <v>7</v>
      </c>
      <c r="G8" s="40" t="str">
        <f>VLOOKUP(7,数据表!C1:D26,2,0)</f>
        <v>金数据收集4h</v>
      </c>
      <c r="H8" s="40">
        <f>VLOOKUP(G8,B2:E27,4,0)</f>
        <v>361</v>
      </c>
      <c r="I8" s="78">
        <f t="shared" si="10"/>
        <v>33159.27</v>
      </c>
      <c r="J8" s="78">
        <f t="shared" si="1"/>
        <v>0.0108868500422356</v>
      </c>
      <c r="K8" s="78">
        <f t="shared" si="2"/>
        <v>0.00362895001407852</v>
      </c>
      <c r="L8" s="78">
        <f t="shared" si="3"/>
        <v>0.96068304951467</v>
      </c>
      <c r="M8" s="78">
        <f t="shared" si="4"/>
        <v>0.0393169504853296</v>
      </c>
      <c r="N8" s="78">
        <f t="shared" si="11"/>
        <v>0.664980094937668</v>
      </c>
      <c r="O8" s="78">
        <f t="shared" si="12"/>
        <v>0.02721500028506</v>
      </c>
      <c r="P8" s="40">
        <f t="shared" ref="P8:U8" si="18">P7</f>
        <v>0.785574117413755</v>
      </c>
      <c r="Q8" s="40">
        <f>IF(VLOOKUP(7,A2:C27,3,0)&gt;(24-'倾向-优先级表'!J13),VLOOKUP(7,A2:C27,3,0),24-'倾向-优先级表'!J13)</f>
        <v>6</v>
      </c>
      <c r="R8" s="40">
        <f t="shared" si="5"/>
        <v>0.16329000171036</v>
      </c>
      <c r="S8" s="40">
        <f t="shared" si="18"/>
        <v>1</v>
      </c>
      <c r="T8" s="40">
        <f t="shared" si="18"/>
        <v>13</v>
      </c>
      <c r="U8" s="40">
        <f t="shared" si="18"/>
        <v>0.402694395184916</v>
      </c>
      <c r="V8" s="40">
        <f t="shared" si="6"/>
        <v>0.02721500028506</v>
      </c>
      <c r="W8" s="103">
        <f t="shared" si="7"/>
        <v>0.0316520569324094</v>
      </c>
      <c r="X8" s="32">
        <f>VLOOKUP(G8,G33:L58,6,0)</f>
        <v>9000</v>
      </c>
      <c r="Y8" s="32">
        <f>VLOOKUP(G8,G33:L58,4,0)</f>
        <v>6173.76</v>
      </c>
      <c r="Z8" s="32">
        <f t="shared" si="8"/>
        <v>244.93500256554</v>
      </c>
      <c r="AA8" s="32">
        <f t="shared" si="9"/>
        <v>168.018880159892</v>
      </c>
      <c r="AB8" s="32"/>
      <c r="AC8" s="32"/>
      <c r="AD8" s="32"/>
    </row>
    <row r="9" ht="15.6" spans="1:30">
      <c r="A9" s="41">
        <f>数据表!I10</f>
        <v>1</v>
      </c>
      <c r="B9" s="42" t="s">
        <v>237</v>
      </c>
      <c r="C9" s="43">
        <v>0.5</v>
      </c>
      <c r="D9" s="44">
        <v>438</v>
      </c>
      <c r="E9" s="45">
        <f t="shared" si="0"/>
        <v>438</v>
      </c>
      <c r="F9" s="39">
        <v>8</v>
      </c>
      <c r="G9" s="40" t="str">
        <f>VLOOKUP(8,数据表!C1:D26,2,0)</f>
        <v>金船定向8h</v>
      </c>
      <c r="H9" s="40">
        <f>VLOOKUP(G9,B2:E27,4,0)</f>
        <v>429.6</v>
      </c>
      <c r="I9" s="78">
        <f t="shared" si="10"/>
        <v>32798.27</v>
      </c>
      <c r="J9" s="78">
        <f t="shared" si="1"/>
        <v>0.0130982518285263</v>
      </c>
      <c r="K9" s="78">
        <f t="shared" si="2"/>
        <v>0.00436608394284211</v>
      </c>
      <c r="L9" s="78">
        <f t="shared" si="3"/>
        <v>0.952842499076958</v>
      </c>
      <c r="M9" s="78">
        <f t="shared" si="4"/>
        <v>0.0471575009230421</v>
      </c>
      <c r="N9" s="78">
        <f t="shared" si="11"/>
        <v>0.63362129549684</v>
      </c>
      <c r="O9" s="78">
        <f t="shared" si="12"/>
        <v>0.0313587994408277</v>
      </c>
      <c r="P9" s="40">
        <f t="shared" ref="P9:U9" si="19">P8</f>
        <v>0.785574117413755</v>
      </c>
      <c r="Q9" s="40">
        <f>IF(VLOOKUP(8,A2:C27,3,0)&gt;(24-'倾向-优先级表'!J13),VLOOKUP(8,A2:C27,3,0),24-'倾向-优先级表'!J13)</f>
        <v>8</v>
      </c>
      <c r="R9" s="40">
        <f t="shared" si="5"/>
        <v>0.250870395526621</v>
      </c>
      <c r="S9" s="40">
        <f t="shared" si="19"/>
        <v>1</v>
      </c>
      <c r="T9" s="40">
        <f t="shared" si="19"/>
        <v>13</v>
      </c>
      <c r="U9" s="40">
        <f t="shared" si="19"/>
        <v>0.402694395184916</v>
      </c>
      <c r="V9" s="40">
        <f t="shared" si="6"/>
        <v>0.0313587994408277</v>
      </c>
      <c r="W9" s="103">
        <f t="shared" si="7"/>
        <v>0.0364714493785242</v>
      </c>
      <c r="X9" s="32">
        <f>VLOOKUP(G9,G33:L58,6,0)</f>
        <v>12000</v>
      </c>
      <c r="Y9" s="32">
        <f>VLOOKUP(G9,G33:L58,4,0)</f>
        <v>7816.32</v>
      </c>
      <c r="Z9" s="32">
        <f t="shared" si="8"/>
        <v>376.305593289932</v>
      </c>
      <c r="AA9" s="32">
        <f t="shared" si="9"/>
        <v>245.11041124533</v>
      </c>
      <c r="AB9" s="32"/>
      <c r="AC9" s="32"/>
      <c r="AD9" s="32"/>
    </row>
    <row r="10" ht="15.6" spans="1:30">
      <c r="A10" s="41">
        <f>数据表!I11</f>
        <v>15</v>
      </c>
      <c r="B10" s="42" t="s">
        <v>238</v>
      </c>
      <c r="C10" s="43">
        <v>2.5</v>
      </c>
      <c r="D10" s="44">
        <v>4817</v>
      </c>
      <c r="E10" s="45">
        <f>D28*D10</f>
        <v>2890.2</v>
      </c>
      <c r="F10" s="39">
        <v>9</v>
      </c>
      <c r="G10" s="40" t="str">
        <f>VLOOKUP(9,数据表!C1:D26,2,0)</f>
        <v>舰装解析2h</v>
      </c>
      <c r="H10" s="40">
        <f>VLOOKUP(G10,B2:E27,4,0)</f>
        <v>1588</v>
      </c>
      <c r="I10" s="78">
        <f t="shared" si="10"/>
        <v>32368.67</v>
      </c>
      <c r="J10" s="78">
        <f t="shared" si="1"/>
        <v>0.0490597852800254</v>
      </c>
      <c r="K10" s="78">
        <f t="shared" si="2"/>
        <v>0.0163532617600085</v>
      </c>
      <c r="L10" s="78">
        <f t="shared" si="3"/>
        <v>0.832028023347861</v>
      </c>
      <c r="M10" s="78">
        <f t="shared" si="4"/>
        <v>0.167971976652139</v>
      </c>
      <c r="N10" s="78">
        <f t="shared" si="11"/>
        <v>0.527190674043347</v>
      </c>
      <c r="O10" s="78">
        <f t="shared" si="12"/>
        <v>0.106430621453493</v>
      </c>
      <c r="P10" s="40">
        <f>P9</f>
        <v>0.785574117413755</v>
      </c>
      <c r="Q10" s="40">
        <f>IF(VLOOKUP(9,A2:C27,3,0)&gt;(24-'倾向-优先级表'!J13),VLOOKUP(9,A2:C27,3,0),24-'倾向-优先级表'!J13)</f>
        <v>6</v>
      </c>
      <c r="R10" s="40">
        <f t="shared" si="5"/>
        <v>0.638583728720961</v>
      </c>
      <c r="S10" s="40">
        <f t="shared" ref="P10:U10" si="20">S9</f>
        <v>1</v>
      </c>
      <c r="T10" s="40">
        <f t="shared" si="20"/>
        <v>13</v>
      </c>
      <c r="U10" s="40">
        <f t="shared" si="20"/>
        <v>0.402694395184916</v>
      </c>
      <c r="V10" s="40">
        <f t="shared" si="6"/>
        <v>0.106430621453493</v>
      </c>
      <c r="W10" s="103">
        <f t="shared" si="7"/>
        <v>0.123782768852184</v>
      </c>
      <c r="X10" s="32">
        <f>VLOOKUP(G10,G33:L58,6,0)</f>
        <v>9000</v>
      </c>
      <c r="Y10" s="32">
        <f>VLOOKUP(G10,G33:L58,4,0)</f>
        <v>5324.16</v>
      </c>
      <c r="Z10" s="32">
        <f t="shared" si="8"/>
        <v>957.875593081441</v>
      </c>
      <c r="AA10" s="32">
        <f t="shared" si="9"/>
        <v>566.653657517832</v>
      </c>
      <c r="AB10" s="32"/>
      <c r="AC10" s="32"/>
      <c r="AD10" s="32"/>
    </row>
    <row r="11" ht="15.6" spans="1:30">
      <c r="A11" s="41">
        <f>数据表!I12</f>
        <v>11</v>
      </c>
      <c r="B11" s="42" t="s">
        <v>239</v>
      </c>
      <c r="C11" s="43">
        <v>5</v>
      </c>
      <c r="D11" s="44">
        <v>3036</v>
      </c>
      <c r="E11" s="45">
        <f>D28*D11</f>
        <v>1821.6</v>
      </c>
      <c r="F11" s="39">
        <v>10</v>
      </c>
      <c r="G11" s="40" t="str">
        <f>VLOOKUP(10,数据表!C1:D26,2,0)</f>
        <v>彩船定向5h</v>
      </c>
      <c r="H11" s="40">
        <f>VLOOKUP(G11,B2:E27,4,0)</f>
        <v>1214.4</v>
      </c>
      <c r="I11" s="78">
        <f t="shared" si="10"/>
        <v>30780.67</v>
      </c>
      <c r="J11" s="78">
        <f t="shared" si="1"/>
        <v>0.0394533322374074</v>
      </c>
      <c r="K11" s="78">
        <f t="shared" si="2"/>
        <v>0.0131511107458025</v>
      </c>
      <c r="L11" s="78">
        <f t="shared" si="3"/>
        <v>0.863091267265036</v>
      </c>
      <c r="M11" s="78">
        <f t="shared" si="4"/>
        <v>0.136908732734964</v>
      </c>
      <c r="N11" s="78">
        <f t="shared" si="11"/>
        <v>0.455013666950381</v>
      </c>
      <c r="O11" s="78">
        <f t="shared" si="12"/>
        <v>0.0721770070929659</v>
      </c>
      <c r="P11" s="40">
        <f t="shared" ref="P11:U11" si="21">P10</f>
        <v>0.785574117413755</v>
      </c>
      <c r="Q11" s="40">
        <f>IF(VLOOKUP(10,A2:C27,3,0)&gt;(24-'倾向-优先级表'!J13),VLOOKUP(10,A2:C27,3,0),24-'倾向-优先级表'!J13)</f>
        <v>6</v>
      </c>
      <c r="R11" s="40">
        <f t="shared" si="5"/>
        <v>0.433062042557795</v>
      </c>
      <c r="S11" s="40">
        <f t="shared" si="21"/>
        <v>1</v>
      </c>
      <c r="T11" s="40">
        <f t="shared" si="21"/>
        <v>13</v>
      </c>
      <c r="U11" s="40">
        <f t="shared" si="21"/>
        <v>0.402694395184916</v>
      </c>
      <c r="V11" s="40">
        <f t="shared" si="6"/>
        <v>0.0721770070929659</v>
      </c>
      <c r="W11" s="103">
        <f t="shared" si="7"/>
        <v>0.0839445421197225</v>
      </c>
      <c r="X11" s="32">
        <f>VLOOKUP(G11,G33:L58,6,0)</f>
        <v>9000</v>
      </c>
      <c r="Y11" s="32">
        <f>VLOOKUP(G11,G33:L58,4,0)</f>
        <v>5239.2</v>
      </c>
      <c r="Z11" s="32">
        <f t="shared" si="8"/>
        <v>649.593063836693</v>
      </c>
      <c r="AA11" s="32">
        <f t="shared" si="9"/>
        <v>378.149775561467</v>
      </c>
      <c r="AB11" s="32"/>
      <c r="AC11" s="32"/>
      <c r="AD11" s="32"/>
    </row>
    <row r="12" ht="15.6" spans="1:30">
      <c r="A12" s="41">
        <f>数据表!I13</f>
        <v>8</v>
      </c>
      <c r="B12" s="42" t="s">
        <v>240</v>
      </c>
      <c r="C12" s="43">
        <v>8</v>
      </c>
      <c r="D12" s="44">
        <v>716</v>
      </c>
      <c r="E12" s="45">
        <f>D28*D12</f>
        <v>429.6</v>
      </c>
      <c r="F12" s="39">
        <v>11</v>
      </c>
      <c r="G12" s="40" t="str">
        <f>VLOOKUP(11,数据表!C1:D26,2,0)</f>
        <v>金船定向5h</v>
      </c>
      <c r="H12" s="40">
        <f>VLOOKUP(G12,B2:E27,4,0)</f>
        <v>1821.6</v>
      </c>
      <c r="I12" s="78">
        <f t="shared" si="10"/>
        <v>29566.27</v>
      </c>
      <c r="J12" s="78">
        <f t="shared" si="1"/>
        <v>0.0616107476526461</v>
      </c>
      <c r="K12" s="78">
        <f t="shared" si="2"/>
        <v>0.0205369158842154</v>
      </c>
      <c r="L12" s="78">
        <f t="shared" si="3"/>
        <v>0.792729863868688</v>
      </c>
      <c r="M12" s="78">
        <f t="shared" si="4"/>
        <v>0.207270136131312</v>
      </c>
      <c r="N12" s="78">
        <f t="shared" si="11"/>
        <v>0.360702922259968</v>
      </c>
      <c r="O12" s="78">
        <f t="shared" si="12"/>
        <v>0.0943107446904129</v>
      </c>
      <c r="P12" s="40">
        <f t="shared" ref="P12:U12" si="22">P11</f>
        <v>0.785574117413755</v>
      </c>
      <c r="Q12" s="40">
        <f>IF(VLOOKUP(11,A2:C27,3,0)&gt;(24-'倾向-优先级表'!J13),VLOOKUP(11,A2:C27,3,0),24-'倾向-优先级表'!J13)</f>
        <v>6</v>
      </c>
      <c r="R12" s="40">
        <f t="shared" si="5"/>
        <v>0.565864468142477</v>
      </c>
      <c r="S12" s="40">
        <f t="shared" si="22"/>
        <v>1</v>
      </c>
      <c r="T12" s="40">
        <f t="shared" si="22"/>
        <v>13</v>
      </c>
      <c r="U12" s="40">
        <f t="shared" si="22"/>
        <v>0.402694395184916</v>
      </c>
      <c r="V12" s="40">
        <f t="shared" si="6"/>
        <v>0.0943107446904129</v>
      </c>
      <c r="W12" s="103">
        <f t="shared" si="7"/>
        <v>0.109686901672296</v>
      </c>
      <c r="X12" s="32">
        <f>VLOOKUP(G12,G33:L58,6,0)</f>
        <v>9000</v>
      </c>
      <c r="Y12" s="32">
        <f>VLOOKUP(G12,G33:L58,4,0)</f>
        <v>4602</v>
      </c>
      <c r="Z12" s="32">
        <f t="shared" si="8"/>
        <v>848.796702213716</v>
      </c>
      <c r="AA12" s="32">
        <f t="shared" si="9"/>
        <v>434.01804706528</v>
      </c>
      <c r="AB12" s="32"/>
      <c r="AC12" s="32"/>
      <c r="AD12" s="32"/>
    </row>
    <row r="13" ht="15.6" spans="1:30">
      <c r="A13" s="41">
        <f>数据表!I14</f>
        <v>4</v>
      </c>
      <c r="B13" s="42" t="s">
        <v>242</v>
      </c>
      <c r="C13" s="43">
        <v>0.5</v>
      </c>
      <c r="D13" s="44">
        <v>129</v>
      </c>
      <c r="E13" s="45">
        <f>D28*D13</f>
        <v>77.4</v>
      </c>
      <c r="F13" s="39">
        <v>12</v>
      </c>
      <c r="G13" s="40" t="str">
        <f>VLOOKUP(12,数据表!C1:D26,2,0)</f>
        <v>基础研究6h</v>
      </c>
      <c r="H13" s="40">
        <f>VLOOKUP(G13,B2:E27,4,0)</f>
        <v>1757</v>
      </c>
      <c r="I13" s="78">
        <f t="shared" si="10"/>
        <v>27744.67</v>
      </c>
      <c r="J13" s="78">
        <f t="shared" si="1"/>
        <v>0.063327478755379</v>
      </c>
      <c r="K13" s="78">
        <f t="shared" si="2"/>
        <v>0.0211091595851263</v>
      </c>
      <c r="L13" s="78">
        <f t="shared" si="3"/>
        <v>0.787466103595425</v>
      </c>
      <c r="M13" s="78">
        <f t="shared" si="4"/>
        <v>0.212533896404575</v>
      </c>
      <c r="N13" s="78">
        <f t="shared" si="11"/>
        <v>0.284041324747541</v>
      </c>
      <c r="O13" s="78">
        <f t="shared" si="12"/>
        <v>0.0766615975124275</v>
      </c>
      <c r="P13" s="40">
        <f t="shared" ref="P13:U13" si="23">P12</f>
        <v>0.785574117413755</v>
      </c>
      <c r="Q13" s="40">
        <f>IF(VLOOKUP(12,A2:C27,3,0)&gt;(24-'倾向-优先级表'!J13),VLOOKUP(12,A2:C27,3,0),24-'倾向-优先级表'!J13)</f>
        <v>6</v>
      </c>
      <c r="R13" s="40">
        <f t="shared" si="5"/>
        <v>0.459969585074565</v>
      </c>
      <c r="S13" s="40">
        <f t="shared" si="23"/>
        <v>1</v>
      </c>
      <c r="T13" s="40">
        <f t="shared" si="23"/>
        <v>13</v>
      </c>
      <c r="U13" s="40">
        <f t="shared" si="23"/>
        <v>0.402694395184916</v>
      </c>
      <c r="V13" s="40">
        <f t="shared" si="6"/>
        <v>0.0766615975124275</v>
      </c>
      <c r="W13" s="103">
        <f t="shared" si="7"/>
        <v>0.0891602874729665</v>
      </c>
      <c r="X13" s="32">
        <f>VLOOKUP(G13,G33:L58,6,0)</f>
        <v>9000</v>
      </c>
      <c r="Y13" s="32">
        <f>VLOOKUP(G13,G33:L58,4,0)</f>
        <v>4078.08</v>
      </c>
      <c r="Z13" s="32">
        <f t="shared" si="8"/>
        <v>689.954377611847</v>
      </c>
      <c r="AA13" s="32">
        <f t="shared" si="9"/>
        <v>312.63212758348</v>
      </c>
      <c r="AB13" s="32"/>
      <c r="AC13" s="32"/>
      <c r="AD13" s="32"/>
    </row>
    <row r="14" ht="15.6" spans="1:30">
      <c r="A14" s="41">
        <f>数据表!I15</f>
        <v>13</v>
      </c>
      <c r="B14" s="42" t="s">
        <v>243</v>
      </c>
      <c r="C14" s="43">
        <v>2.5</v>
      </c>
      <c r="D14" s="44"/>
      <c r="E14" s="45">
        <f>D29*D10</f>
        <v>1926.8</v>
      </c>
      <c r="F14" s="39">
        <v>13</v>
      </c>
      <c r="G14" s="40" t="str">
        <f>VLOOKUP(13,数据表!C1:D26,2,0)</f>
        <v>彩船定向2.5h</v>
      </c>
      <c r="H14" s="40">
        <f>VLOOKUP(G14,B2:E27,4,0)</f>
        <v>1926.8</v>
      </c>
      <c r="I14" s="78">
        <f t="shared" si="10"/>
        <v>25987.67</v>
      </c>
      <c r="J14" s="78">
        <f t="shared" si="1"/>
        <v>0.0741428531299651</v>
      </c>
      <c r="K14" s="78">
        <f t="shared" si="2"/>
        <v>0.024714284376655</v>
      </c>
      <c r="L14" s="78">
        <f t="shared" si="3"/>
        <v>0.754910866497435</v>
      </c>
      <c r="M14" s="78">
        <f t="shared" si="4"/>
        <v>0.245089133502565</v>
      </c>
      <c r="N14" s="78">
        <f t="shared" si="11"/>
        <v>0.214425882586245</v>
      </c>
      <c r="O14" s="78">
        <f t="shared" si="12"/>
        <v>0.0696154421612954</v>
      </c>
      <c r="P14" s="40">
        <f t="shared" ref="P14:U14" si="24">P13</f>
        <v>0.785574117413755</v>
      </c>
      <c r="Q14" s="40">
        <f>IF(VLOOKUP(13,A2:C27,3,0)&gt;(24-'倾向-优先级表'!J13),VLOOKUP(13,A2:C27,3,0),24-'倾向-优先级表'!J13)</f>
        <v>6</v>
      </c>
      <c r="R14" s="40">
        <f t="shared" si="5"/>
        <v>0.417692652967772</v>
      </c>
      <c r="S14" s="40">
        <f t="shared" si="24"/>
        <v>1</v>
      </c>
      <c r="T14" s="40">
        <f t="shared" si="24"/>
        <v>13</v>
      </c>
      <c r="U14" s="40">
        <f t="shared" si="24"/>
        <v>0.402694395184916</v>
      </c>
      <c r="V14" s="40">
        <f t="shared" si="6"/>
        <v>0.0696154421612954</v>
      </c>
      <c r="W14" s="103">
        <f t="shared" si="7"/>
        <v>0.0809653468890023</v>
      </c>
      <c r="X14" s="32">
        <f>VLOOKUP(G14,G33:L58,6,0)</f>
        <v>9000</v>
      </c>
      <c r="Y14" s="32">
        <f>VLOOKUP(G14,G33:L58,4,0)</f>
        <v>3422</v>
      </c>
      <c r="Z14" s="32">
        <f t="shared" si="8"/>
        <v>626.538979451658</v>
      </c>
      <c r="AA14" s="32">
        <f t="shared" si="9"/>
        <v>238.224043075953</v>
      </c>
      <c r="AB14" s="32"/>
      <c r="AC14" s="32"/>
      <c r="AD14" s="32"/>
    </row>
    <row r="15" ht="15.6" spans="1:30">
      <c r="A15" s="41">
        <f>数据表!I16</f>
        <v>10</v>
      </c>
      <c r="B15" s="42" t="s">
        <v>244</v>
      </c>
      <c r="C15" s="43">
        <v>5</v>
      </c>
      <c r="D15" s="44"/>
      <c r="E15" s="45">
        <f>D29*D11</f>
        <v>1214.4</v>
      </c>
      <c r="F15" s="39">
        <v>14</v>
      </c>
      <c r="G15" s="40" t="str">
        <f>VLOOKUP(14,数据表!C1:D26,2,0)</f>
        <v>基础研究8h</v>
      </c>
      <c r="H15" s="40">
        <f>VLOOKUP(G15,B2:E27,4,0)</f>
        <v>1244</v>
      </c>
      <c r="I15" s="78">
        <f t="shared" si="10"/>
        <v>24060.87</v>
      </c>
      <c r="J15" s="78">
        <f t="shared" si="1"/>
        <v>0.0517022036194036</v>
      </c>
      <c r="K15" s="78">
        <f t="shared" si="2"/>
        <v>0.0172340678731345</v>
      </c>
      <c r="L15" s="78">
        <f t="shared" si="3"/>
        <v>0.823634273350393</v>
      </c>
      <c r="M15" s="78">
        <f t="shared" si="4"/>
        <v>0.176365726649607</v>
      </c>
      <c r="N15" s="78">
        <f t="shared" si="11"/>
        <v>0.176608505991439</v>
      </c>
      <c r="O15" s="78">
        <f t="shared" si="12"/>
        <v>0.0378173765948065</v>
      </c>
      <c r="P15" s="40">
        <f t="shared" ref="P15:U15" si="25">P14</f>
        <v>0.785574117413755</v>
      </c>
      <c r="Q15" s="40">
        <f>IF(VLOOKUP(14,A2:C27,3,0)&gt;(24-'倾向-优先级表'!J13),VLOOKUP(14,A2:C27,3,0),24-'倾向-优先级表'!J13)</f>
        <v>8</v>
      </c>
      <c r="R15" s="40">
        <f t="shared" si="5"/>
        <v>0.302539012758452</v>
      </c>
      <c r="S15" s="40">
        <f t="shared" si="25"/>
        <v>1</v>
      </c>
      <c r="T15" s="40">
        <f t="shared" si="25"/>
        <v>13</v>
      </c>
      <c r="U15" s="40">
        <f t="shared" si="25"/>
        <v>0.402694395184916</v>
      </c>
      <c r="V15" s="40">
        <f t="shared" si="6"/>
        <v>0</v>
      </c>
      <c r="W15" s="103">
        <f t="shared" si="7"/>
        <v>0.0152288455953258</v>
      </c>
      <c r="X15" s="32">
        <f>VLOOKUP(G15,G33:L58,6,0)</f>
        <v>12000</v>
      </c>
      <c r="Y15" s="32">
        <f>VLOOKUP(G15,G33:L58,4,0)</f>
        <v>5324.16</v>
      </c>
      <c r="Z15" s="32">
        <f t="shared" si="8"/>
        <v>453.808519137678</v>
      </c>
      <c r="AA15" s="32">
        <f t="shared" si="9"/>
        <v>201.345763771005</v>
      </c>
      <c r="AB15" s="32"/>
      <c r="AC15" s="32"/>
      <c r="AD15" s="32"/>
    </row>
    <row r="16" ht="15.6" spans="1:30">
      <c r="A16" s="41">
        <f>数据表!I17</f>
        <v>6</v>
      </c>
      <c r="B16" s="42" t="s">
        <v>245</v>
      </c>
      <c r="C16" s="43">
        <v>8</v>
      </c>
      <c r="D16" s="44"/>
      <c r="E16" s="45">
        <f>D29*D12</f>
        <v>286.4</v>
      </c>
      <c r="F16" s="39">
        <v>15</v>
      </c>
      <c r="G16" s="40" t="str">
        <f>VLOOKUP(15,数据表!C1:D26,2,0)</f>
        <v>金船定向2.5h</v>
      </c>
      <c r="H16" s="40">
        <f>VLOOKUP(G16,B2:E27,4,0)</f>
        <v>2890.2</v>
      </c>
      <c r="I16" s="78">
        <f t="shared" si="10"/>
        <v>22816.87</v>
      </c>
      <c r="J16" s="78">
        <f t="shared" si="1"/>
        <v>0.126669433625208</v>
      </c>
      <c r="K16" s="78">
        <f t="shared" si="2"/>
        <v>0.042223144541736</v>
      </c>
      <c r="L16" s="78">
        <f t="shared" si="3"/>
        <v>0.611032989398505</v>
      </c>
      <c r="M16" s="78">
        <f t="shared" si="4"/>
        <v>0.388967010601495</v>
      </c>
      <c r="N16" s="78">
        <f t="shared" si="11"/>
        <v>0.107913623369153</v>
      </c>
      <c r="O16" s="78">
        <f t="shared" si="12"/>
        <v>0.0686948826222861</v>
      </c>
      <c r="P16" s="40">
        <f t="shared" ref="P16:U16" si="26">P15</f>
        <v>0.785574117413755</v>
      </c>
      <c r="Q16" s="40">
        <f>IF(VLOOKUP(15,A2:C27,3,0)&gt;(24-'倾向-优先级表'!J13),VLOOKUP(15,A2:C27,3,0),24-'倾向-优先级表'!J13)</f>
        <v>6</v>
      </c>
      <c r="R16" s="40">
        <f t="shared" si="5"/>
        <v>0.412169295733717</v>
      </c>
      <c r="S16" s="40">
        <f t="shared" si="26"/>
        <v>1</v>
      </c>
      <c r="T16" s="40">
        <f t="shared" si="26"/>
        <v>13</v>
      </c>
      <c r="U16" s="40">
        <f t="shared" si="26"/>
        <v>0.402694395184916</v>
      </c>
      <c r="V16" s="40">
        <f t="shared" si="6"/>
        <v>0</v>
      </c>
      <c r="W16" s="103">
        <f t="shared" si="7"/>
        <v>0.0276630442098803</v>
      </c>
      <c r="X16" s="32">
        <f>VLOOKUP(G16,G33:L58,6,0)</f>
        <v>9000</v>
      </c>
      <c r="Y16" s="32">
        <f>VLOOKUP(G16,G33:L58,4,0)</f>
        <v>3068</v>
      </c>
      <c r="Z16" s="32">
        <f t="shared" si="8"/>
        <v>618.253943600575</v>
      </c>
      <c r="AA16" s="32">
        <f t="shared" si="9"/>
        <v>210.755899885174</v>
      </c>
      <c r="AB16" s="32"/>
      <c r="AC16" s="32"/>
      <c r="AD16" s="32"/>
    </row>
    <row r="17" ht="15.6" spans="1:30">
      <c r="A17" s="41">
        <f>数据表!I18</f>
        <v>3</v>
      </c>
      <c r="B17" s="42" t="s">
        <v>247</v>
      </c>
      <c r="C17" s="43">
        <v>0.5</v>
      </c>
      <c r="D17" s="44"/>
      <c r="E17" s="45">
        <f>D29*D13</f>
        <v>51.6</v>
      </c>
      <c r="F17" s="39">
        <v>16</v>
      </c>
      <c r="G17" s="40" t="str">
        <f>VLOOKUP(16,数据表!C1:D26,2,0)</f>
        <v>舰装解析1h</v>
      </c>
      <c r="H17" s="40">
        <f>VLOOKUP(G17,B2:E27,4,0)</f>
        <v>3173</v>
      </c>
      <c r="I17" s="78">
        <f t="shared" si="10"/>
        <v>19926.67</v>
      </c>
      <c r="J17" s="78">
        <f t="shared" si="1"/>
        <v>0.159233830840778</v>
      </c>
      <c r="K17" s="78">
        <f t="shared" si="2"/>
        <v>0.0530779436135926</v>
      </c>
      <c r="L17" s="78">
        <f t="shared" si="3"/>
        <v>0.532910343429146</v>
      </c>
      <c r="M17" s="78">
        <f t="shared" si="4"/>
        <v>0.467089656570854</v>
      </c>
      <c r="N17" s="78">
        <f t="shared" si="11"/>
        <v>0.0575082860903387</v>
      </c>
      <c r="O17" s="78">
        <f t="shared" si="12"/>
        <v>0.050405337278814</v>
      </c>
      <c r="P17" s="40">
        <f t="shared" ref="P17:U17" si="27">P16</f>
        <v>0.785574117413755</v>
      </c>
      <c r="Q17" s="40">
        <f>IF(VLOOKUP(16,A2:C27,3,0)&gt;(24-'倾向-优先级表'!J13),VLOOKUP(16,A2:C27,3,0),24-'倾向-优先级表'!J13)</f>
        <v>6</v>
      </c>
      <c r="R17" s="40">
        <f t="shared" si="5"/>
        <v>0.302432023672884</v>
      </c>
      <c r="S17" s="40">
        <f t="shared" si="27"/>
        <v>1</v>
      </c>
      <c r="T17" s="40">
        <f t="shared" si="27"/>
        <v>13</v>
      </c>
      <c r="U17" s="40">
        <f t="shared" si="27"/>
        <v>0.402694395184916</v>
      </c>
      <c r="V17" s="40">
        <f t="shared" si="6"/>
        <v>0</v>
      </c>
      <c r="W17" s="103">
        <f t="shared" si="7"/>
        <v>0.0202979468095837</v>
      </c>
      <c r="X17" s="32">
        <f>VLOOKUP(G17,G33:L58,6,0)</f>
        <v>9000</v>
      </c>
      <c r="Y17" s="32">
        <f>VLOOKUP(G17,G33:L58,4,0)</f>
        <v>2945.28</v>
      </c>
      <c r="Z17" s="32">
        <f t="shared" si="8"/>
        <v>453.648035509326</v>
      </c>
      <c r="AA17" s="32">
        <f t="shared" si="9"/>
        <v>148.457831780545</v>
      </c>
      <c r="AB17" s="32"/>
      <c r="AC17" s="32"/>
      <c r="AD17" s="32"/>
    </row>
    <row r="18" ht="15.6" spans="1:30">
      <c r="A18" s="41">
        <f>数据表!I19</f>
        <v>20</v>
      </c>
      <c r="B18" s="42" t="s">
        <v>248</v>
      </c>
      <c r="C18" s="43">
        <v>1.5</v>
      </c>
      <c r="D18" s="44">
        <v>3436</v>
      </c>
      <c r="E18" s="45">
        <f t="shared" ref="E18:E27" si="28">D18</f>
        <v>3436</v>
      </c>
      <c r="F18" s="39">
        <v>17</v>
      </c>
      <c r="G18" s="40" t="str">
        <f>VLOOKUP(17,数据表!C1:D26,2,0)</f>
        <v>资金募集2.5h</v>
      </c>
      <c r="H18" s="40">
        <f>VLOOKUP(G18,B2:E27,4,0)</f>
        <v>2346</v>
      </c>
      <c r="I18" s="78">
        <f t="shared" si="10"/>
        <v>16753.67</v>
      </c>
      <c r="J18" s="78">
        <f t="shared" si="1"/>
        <v>0.140029020507149</v>
      </c>
      <c r="K18" s="78">
        <f t="shared" si="2"/>
        <v>0.0466763401690495</v>
      </c>
      <c r="L18" s="78">
        <f t="shared" si="3"/>
        <v>0.578005712537504</v>
      </c>
      <c r="M18" s="78">
        <f t="shared" si="4"/>
        <v>0.421994287462496</v>
      </c>
      <c r="N18" s="78">
        <f t="shared" si="11"/>
        <v>0.0332401178784568</v>
      </c>
      <c r="O18" s="78">
        <f t="shared" si="12"/>
        <v>0.0242681682118818</v>
      </c>
      <c r="P18" s="40">
        <f t="shared" ref="P18:U18" si="29">P17</f>
        <v>0.785574117413755</v>
      </c>
      <c r="Q18" s="40">
        <f>IF(VLOOKUP(17,A2:C27,3,0)&gt;(24-'倾向-优先级表'!J13),VLOOKUP(17,A2:C27,3,0),24-'倾向-优先级表'!J13)</f>
        <v>6</v>
      </c>
      <c r="R18" s="40">
        <f t="shared" si="5"/>
        <v>0.145609009271291</v>
      </c>
      <c r="S18" s="40">
        <f t="shared" si="29"/>
        <v>1</v>
      </c>
      <c r="T18" s="40">
        <f t="shared" si="29"/>
        <v>13</v>
      </c>
      <c r="U18" s="40">
        <f t="shared" si="29"/>
        <v>0.402694395184916</v>
      </c>
      <c r="V18" s="40">
        <f t="shared" si="6"/>
        <v>0</v>
      </c>
      <c r="W18" s="103">
        <f t="shared" si="7"/>
        <v>0.00977265532032954</v>
      </c>
      <c r="X18" s="32">
        <f>VLOOKUP(G18,G33:L58,6,0)</f>
        <v>9000</v>
      </c>
      <c r="Y18" s="32">
        <f>VLOOKUP(G18,G33:L58,4,0)</f>
        <v>2749.4</v>
      </c>
      <c r="Z18" s="32">
        <f t="shared" si="8"/>
        <v>218.413513906936</v>
      </c>
      <c r="AA18" s="32">
        <f t="shared" si="9"/>
        <v>66.7229016817479</v>
      </c>
      <c r="AB18" s="32"/>
      <c r="AC18" s="32"/>
      <c r="AD18" s="32"/>
    </row>
    <row r="19" ht="15.6" spans="1:30">
      <c r="A19" s="41">
        <f>数据表!I20</f>
        <v>17</v>
      </c>
      <c r="B19" s="46" t="s">
        <v>249</v>
      </c>
      <c r="C19" s="43">
        <v>2.5</v>
      </c>
      <c r="D19" s="44">
        <v>2346</v>
      </c>
      <c r="E19" s="45">
        <f t="shared" si="28"/>
        <v>2346</v>
      </c>
      <c r="F19" s="39">
        <v>18</v>
      </c>
      <c r="G19" s="40" t="str">
        <f>VLOOKUP(18,数据表!C1:D26,2,0)</f>
        <v>试验品募集2h紫</v>
      </c>
      <c r="H19" s="40">
        <f>VLOOKUP(G19,B2:E27,4,0)</f>
        <v>482</v>
      </c>
      <c r="I19" s="78">
        <f t="shared" si="10"/>
        <v>14407.67</v>
      </c>
      <c r="J19" s="78">
        <f t="shared" si="1"/>
        <v>0.0334544031061233</v>
      </c>
      <c r="K19" s="78">
        <f t="shared" si="2"/>
        <v>0.0111514677020411</v>
      </c>
      <c r="L19" s="78">
        <f t="shared" si="3"/>
        <v>0.882930636989695</v>
      </c>
      <c r="M19" s="78">
        <f t="shared" si="4"/>
        <v>0.117069363010305</v>
      </c>
      <c r="N19" s="78">
        <f t="shared" si="11"/>
        <v>0.0293487184520385</v>
      </c>
      <c r="O19" s="78">
        <f t="shared" si="12"/>
        <v>0.00389139942641839</v>
      </c>
      <c r="P19" s="40">
        <f t="shared" ref="P19:U19" si="30">P18</f>
        <v>0.785574117413755</v>
      </c>
      <c r="Q19" s="40">
        <f>IF(VLOOKUP(18,A2:C27,3,0)&gt;(24-'倾向-优先级表'!J13),VLOOKUP(18,A2:C27,3,0),24-'倾向-优先级表'!J13)</f>
        <v>6</v>
      </c>
      <c r="R19" s="40">
        <f t="shared" si="5"/>
        <v>0.0233483965585103</v>
      </c>
      <c r="S19" s="40">
        <f t="shared" si="30"/>
        <v>1</v>
      </c>
      <c r="T19" s="40">
        <f t="shared" si="30"/>
        <v>13</v>
      </c>
      <c r="U19" s="40">
        <f t="shared" si="30"/>
        <v>0.402694395184916</v>
      </c>
      <c r="V19" s="40">
        <f t="shared" si="6"/>
        <v>0</v>
      </c>
      <c r="W19" s="103">
        <f t="shared" si="7"/>
        <v>0.00156704473844448</v>
      </c>
      <c r="X19" s="32">
        <f>VLOOKUP(G19,G33:L58,6,0)</f>
        <v>9000</v>
      </c>
      <c r="Y19" s="32">
        <f>VLOOKUP(G19,G33:L58,4,0)</f>
        <v>2378.88</v>
      </c>
      <c r="Z19" s="32">
        <f t="shared" si="8"/>
        <v>35.0225948377655</v>
      </c>
      <c r="AA19" s="32">
        <f t="shared" si="9"/>
        <v>9.25717226751818</v>
      </c>
      <c r="AB19" s="32"/>
      <c r="AC19" s="32"/>
      <c r="AD19" s="32"/>
    </row>
    <row r="20" ht="15.6" spans="1:30">
      <c r="A20" s="41">
        <f>数据表!I21</f>
        <v>5</v>
      </c>
      <c r="B20" s="42" t="s">
        <v>250</v>
      </c>
      <c r="C20" s="43">
        <v>4</v>
      </c>
      <c r="D20" s="44">
        <v>1793</v>
      </c>
      <c r="E20" s="45">
        <f t="shared" si="28"/>
        <v>1793</v>
      </c>
      <c r="F20" s="39">
        <v>19</v>
      </c>
      <c r="G20" s="40" t="str">
        <f>VLOOKUP(19,数据表!C1:D26,2,0)</f>
        <v>试验品募集2h蓝</v>
      </c>
      <c r="H20" s="40">
        <f>VLOOKUP(G20,B2:E27,4,0)</f>
        <v>709</v>
      </c>
      <c r="I20" s="78">
        <f t="shared" si="10"/>
        <v>13925.67</v>
      </c>
      <c r="J20" s="78">
        <f t="shared" si="1"/>
        <v>0.0509131697074539</v>
      </c>
      <c r="K20" s="78">
        <f t="shared" si="2"/>
        <v>0.0169710565691513</v>
      </c>
      <c r="L20" s="78">
        <f t="shared" si="3"/>
        <v>0.826133914596781</v>
      </c>
      <c r="M20" s="78">
        <f t="shared" si="4"/>
        <v>0.173866085403219</v>
      </c>
      <c r="N20" s="78">
        <f t="shared" si="11"/>
        <v>0.0242459716631813</v>
      </c>
      <c r="O20" s="78">
        <f t="shared" si="12"/>
        <v>0.00510274678885714</v>
      </c>
      <c r="P20" s="40">
        <f t="shared" ref="P20:U20" si="31">P19</f>
        <v>0.785574117413755</v>
      </c>
      <c r="Q20" s="40">
        <f>IF(VLOOKUP(19,A2:C27,3,0)&gt;(24-'倾向-优先级表'!J13),VLOOKUP(19,A2:C27,3,0),24-'倾向-优先级表'!J13)</f>
        <v>6</v>
      </c>
      <c r="R20" s="40">
        <f t="shared" si="5"/>
        <v>0.0306164807331428</v>
      </c>
      <c r="S20" s="40">
        <f t="shared" si="31"/>
        <v>1</v>
      </c>
      <c r="T20" s="40">
        <f t="shared" si="31"/>
        <v>13</v>
      </c>
      <c r="U20" s="40">
        <f t="shared" si="31"/>
        <v>0.402694395184916</v>
      </c>
      <c r="V20" s="40">
        <f t="shared" si="6"/>
        <v>0</v>
      </c>
      <c r="W20" s="103">
        <f t="shared" si="7"/>
        <v>0.0020548475319206</v>
      </c>
      <c r="X20" s="32">
        <f>VLOOKUP(G20,G33:L58,6,0)</f>
        <v>9000</v>
      </c>
      <c r="Y20" s="32">
        <f>VLOOKUP(G20,G33:L58,4,0)</f>
        <v>2039.04</v>
      </c>
      <c r="Z20" s="32">
        <f t="shared" si="8"/>
        <v>45.9247210997143</v>
      </c>
      <c r="AA20" s="32">
        <f t="shared" si="9"/>
        <v>10.4047048123513</v>
      </c>
      <c r="AB20" s="32"/>
      <c r="AC20" s="32"/>
      <c r="AD20" s="32"/>
    </row>
    <row r="21" ht="15.6" spans="1:30">
      <c r="A21" s="41">
        <f>数据表!I22</f>
        <v>19</v>
      </c>
      <c r="B21" s="42" t="s">
        <v>252</v>
      </c>
      <c r="C21" s="43">
        <v>2</v>
      </c>
      <c r="D21" s="44">
        <v>709</v>
      </c>
      <c r="E21" s="45">
        <f t="shared" si="28"/>
        <v>709</v>
      </c>
      <c r="F21" s="39">
        <v>20</v>
      </c>
      <c r="G21" s="40" t="str">
        <f>VLOOKUP(20,数据表!C1:D26,2,0)</f>
        <v>资金募集1.5h</v>
      </c>
      <c r="H21" s="40">
        <f>VLOOKUP(G21,B2:E27,4,0)</f>
        <v>3436</v>
      </c>
      <c r="I21" s="78">
        <f t="shared" si="10"/>
        <v>13216.67</v>
      </c>
      <c r="J21" s="78">
        <f t="shared" si="1"/>
        <v>0.259974713751649</v>
      </c>
      <c r="K21" s="78">
        <f t="shared" si="2"/>
        <v>0.0866582379172162</v>
      </c>
      <c r="L21" s="78">
        <f t="shared" si="3"/>
        <v>0.338069748664791</v>
      </c>
      <c r="M21" s="78">
        <f t="shared" si="4"/>
        <v>0.661930251335209</v>
      </c>
      <c r="N21" s="78">
        <f t="shared" si="11"/>
        <v>0.00819682954630535</v>
      </c>
      <c r="O21" s="78">
        <f t="shared" si="12"/>
        <v>0.016049142116876</v>
      </c>
      <c r="P21" s="40">
        <f t="shared" ref="P21:U21" si="32">P20</f>
        <v>0.785574117413755</v>
      </c>
      <c r="Q21" s="40">
        <f>IF(VLOOKUP(20,A2:C27,3,0)&gt;(24-'倾向-优先级表'!J13),VLOOKUP(20,A2:C27,3,0),24-'倾向-优先级表'!J13)</f>
        <v>6</v>
      </c>
      <c r="R21" s="40">
        <f t="shared" si="5"/>
        <v>0.0962948527012558</v>
      </c>
      <c r="S21" s="40">
        <f t="shared" si="32"/>
        <v>1</v>
      </c>
      <c r="T21" s="40">
        <f t="shared" si="32"/>
        <v>13</v>
      </c>
      <c r="U21" s="40">
        <f t="shared" si="32"/>
        <v>0.402694395184916</v>
      </c>
      <c r="V21" s="40">
        <f t="shared" si="6"/>
        <v>0</v>
      </c>
      <c r="W21" s="103">
        <f t="shared" si="7"/>
        <v>0.00646289957799212</v>
      </c>
      <c r="X21" s="32">
        <f>VLOOKUP(G21,G33:L58,6,0)</f>
        <v>9000</v>
      </c>
      <c r="Y21" s="32">
        <f>VLOOKUP(G21,G33:L58,4,0)</f>
        <v>1982.4</v>
      </c>
      <c r="Z21" s="32">
        <f t="shared" si="8"/>
        <v>144.442279051884</v>
      </c>
      <c r="AA21" s="32">
        <f t="shared" si="9"/>
        <v>31.8158193324949</v>
      </c>
      <c r="AB21" s="32"/>
      <c r="AC21" s="32"/>
      <c r="AD21" s="32"/>
    </row>
    <row r="22" ht="15.6" spans="1:30">
      <c r="A22" s="41">
        <f>数据表!I23</f>
        <v>18</v>
      </c>
      <c r="B22" s="42" t="s">
        <v>253</v>
      </c>
      <c r="C22" s="43">
        <v>2</v>
      </c>
      <c r="D22" s="44">
        <v>482</v>
      </c>
      <c r="E22" s="45">
        <f t="shared" si="28"/>
        <v>482</v>
      </c>
      <c r="F22" s="39">
        <v>21</v>
      </c>
      <c r="G22" s="40" t="str">
        <f>VLOOKUP(21,数据表!C1:D26,2,0)</f>
        <v>研究委托3h</v>
      </c>
      <c r="H22" s="40">
        <f>VLOOKUP(G22,B2:E27,4,0)</f>
        <v>769</v>
      </c>
      <c r="I22" s="78">
        <f t="shared" si="10"/>
        <v>9780.67</v>
      </c>
      <c r="J22" s="78">
        <f t="shared" si="1"/>
        <v>0.0786244705117339</v>
      </c>
      <c r="K22" s="78">
        <f t="shared" si="2"/>
        <v>0.0262081568372446</v>
      </c>
      <c r="L22" s="78">
        <f t="shared" si="3"/>
        <v>0.74172392221852</v>
      </c>
      <c r="M22" s="78">
        <f t="shared" si="4"/>
        <v>0.25827607778148</v>
      </c>
      <c r="N22" s="78">
        <f t="shared" si="11"/>
        <v>0.00607978456084226</v>
      </c>
      <c r="O22" s="78">
        <f t="shared" si="12"/>
        <v>0.00211704498546309</v>
      </c>
      <c r="P22" s="40">
        <f t="shared" ref="P22:U22" si="33">P21</f>
        <v>0.785574117413755</v>
      </c>
      <c r="Q22" s="40">
        <f>IF(VLOOKUP(21,A2:C27,3,0)&gt;(24-'倾向-优先级表'!J13),VLOOKUP(21,A2:C27,3,0),24-'倾向-优先级表'!J13)</f>
        <v>6</v>
      </c>
      <c r="R22" s="40">
        <f t="shared" si="5"/>
        <v>0.0127022699127785</v>
      </c>
      <c r="S22" s="40">
        <f t="shared" si="33"/>
        <v>1</v>
      </c>
      <c r="T22" s="40">
        <f t="shared" si="33"/>
        <v>13</v>
      </c>
      <c r="U22" s="40">
        <f t="shared" si="33"/>
        <v>0.402694395184916</v>
      </c>
      <c r="V22" s="40">
        <f t="shared" si="6"/>
        <v>0</v>
      </c>
      <c r="W22" s="103">
        <f t="shared" si="7"/>
        <v>0.000852522150000317</v>
      </c>
      <c r="X22" s="32">
        <f>VLOOKUP(G22,G33:L58,6,0)</f>
        <v>4500</v>
      </c>
      <c r="Y22" s="32">
        <f>VLOOKUP(G22,G33:L58,4,0)</f>
        <v>1869.12</v>
      </c>
      <c r="Z22" s="32">
        <f t="shared" si="8"/>
        <v>9.5267024345839</v>
      </c>
      <c r="AA22" s="32">
        <f t="shared" si="9"/>
        <v>3.95701112322877</v>
      </c>
      <c r="AB22" s="32"/>
      <c r="AC22" s="32"/>
      <c r="AD22" s="32"/>
    </row>
    <row r="23" ht="15.6" spans="1:30">
      <c r="A23" s="41">
        <f>数据表!I24</f>
        <v>7</v>
      </c>
      <c r="B23" s="42" t="s">
        <v>254</v>
      </c>
      <c r="C23" s="43">
        <v>4</v>
      </c>
      <c r="D23" s="44">
        <v>361</v>
      </c>
      <c r="E23" s="45">
        <f t="shared" si="28"/>
        <v>361</v>
      </c>
      <c r="F23" s="39">
        <v>22</v>
      </c>
      <c r="G23" s="40" t="str">
        <f>VLOOKUP(22,数据表!C1:D26,2,0)</f>
        <v>心智补全0.5h</v>
      </c>
      <c r="H23" s="40">
        <f>VLOOKUP(G23,B2:E27,4,0)</f>
        <v>44</v>
      </c>
      <c r="I23" s="78">
        <f t="shared" si="10"/>
        <v>9011.67</v>
      </c>
      <c r="J23" s="78">
        <f t="shared" si="1"/>
        <v>0.00488255783889113</v>
      </c>
      <c r="K23" s="78">
        <f t="shared" si="2"/>
        <v>0.00162751927963038</v>
      </c>
      <c r="L23" s="78">
        <f t="shared" si="3"/>
        <v>0.982218746175969</v>
      </c>
      <c r="M23" s="78">
        <f t="shared" si="4"/>
        <v>0.0177812538240306</v>
      </c>
      <c r="N23" s="78">
        <f t="shared" si="11"/>
        <v>0.0059716783683705</v>
      </c>
      <c r="O23" s="78">
        <f t="shared" si="12"/>
        <v>0.000108106192471759</v>
      </c>
      <c r="P23" s="40">
        <f t="shared" ref="P23:U23" si="34">P22</f>
        <v>0.785574117413755</v>
      </c>
      <c r="Q23" s="40">
        <f>IF(VLOOKUP(22,A2:C27,3,0)&gt;(24-'倾向-优先级表'!J13),VLOOKUP(22,A2:C27,3,0),24-'倾向-优先级表'!J13)</f>
        <v>6</v>
      </c>
      <c r="R23" s="40">
        <f t="shared" si="5"/>
        <v>0.000648637154830552</v>
      </c>
      <c r="S23" s="40">
        <f t="shared" si="34"/>
        <v>1</v>
      </c>
      <c r="T23" s="40">
        <f t="shared" si="34"/>
        <v>13</v>
      </c>
      <c r="U23" s="40">
        <f t="shared" si="34"/>
        <v>0.402694395184916</v>
      </c>
      <c r="V23" s="40">
        <f t="shared" si="6"/>
        <v>0</v>
      </c>
      <c r="W23" s="103">
        <f t="shared" si="7"/>
        <v>4.35337577931589e-5</v>
      </c>
      <c r="X23" s="32">
        <f>VLOOKUP(G23,G33:L58,6,0)</f>
        <v>12000</v>
      </c>
      <c r="Y23" s="32">
        <f>VLOOKUP(G23,G33:L58,4,0)</f>
        <v>3237.92</v>
      </c>
      <c r="Z23" s="32">
        <f t="shared" si="8"/>
        <v>1.2972743096611</v>
      </c>
      <c r="AA23" s="32">
        <f t="shared" si="9"/>
        <v>0.350039202728157</v>
      </c>
      <c r="AB23" s="32"/>
      <c r="AC23" s="32"/>
      <c r="AD23" s="32"/>
    </row>
    <row r="24" ht="15.6" spans="1:30">
      <c r="A24" s="41">
        <f>数据表!I25</f>
        <v>12</v>
      </c>
      <c r="B24" s="42" t="s">
        <v>256</v>
      </c>
      <c r="C24" s="43">
        <v>6</v>
      </c>
      <c r="D24" s="44">
        <v>1757</v>
      </c>
      <c r="E24" s="45">
        <f t="shared" si="28"/>
        <v>1757</v>
      </c>
      <c r="F24" s="39">
        <v>23</v>
      </c>
      <c r="G24" s="40" t="str">
        <f>VLOOKUP(23,数据表!C1:D26,2,0)</f>
        <v>基础研究12h</v>
      </c>
      <c r="H24" s="40">
        <f>VLOOKUP(G24,B2:E27,4,0)</f>
        <v>452</v>
      </c>
      <c r="I24" s="78">
        <f t="shared" si="10"/>
        <v>8967.67</v>
      </c>
      <c r="J24" s="78">
        <f t="shared" si="1"/>
        <v>0.0504032820119385</v>
      </c>
      <c r="K24" s="78">
        <f t="shared" si="2"/>
        <v>0.0168010940039795</v>
      </c>
      <c r="L24" s="78">
        <f t="shared" si="3"/>
        <v>0.827752284598465</v>
      </c>
      <c r="M24" s="78">
        <f t="shared" si="4"/>
        <v>0.172247715401535</v>
      </c>
      <c r="N24" s="78">
        <f t="shared" si="11"/>
        <v>0.00494307041230592</v>
      </c>
      <c r="O24" s="78">
        <f t="shared" si="12"/>
        <v>0.00102860795606458</v>
      </c>
      <c r="P24" s="40">
        <f t="shared" ref="P24:U24" si="35">P23</f>
        <v>0.785574117413755</v>
      </c>
      <c r="Q24" s="40">
        <f>IF(VLOOKUP(23,A2:C27,3,0)&gt;(24-'倾向-优先级表'!J13),VLOOKUP(23,A2:C27,3,0),24-'倾向-优先级表'!J13)</f>
        <v>12</v>
      </c>
      <c r="R24" s="40">
        <f t="shared" si="5"/>
        <v>0.012343295472775</v>
      </c>
      <c r="S24" s="40">
        <f t="shared" si="35"/>
        <v>1</v>
      </c>
      <c r="T24" s="40">
        <f t="shared" si="35"/>
        <v>13</v>
      </c>
      <c r="U24" s="40">
        <f t="shared" si="35"/>
        <v>0.402694395184916</v>
      </c>
      <c r="V24" s="40">
        <f t="shared" si="6"/>
        <v>0</v>
      </c>
      <c r="W24" s="103">
        <f t="shared" si="7"/>
        <v>0.000414214658749819</v>
      </c>
      <c r="X24" s="32">
        <f>VLOOKUP(G24,G33:L58,6,0)</f>
        <v>18000</v>
      </c>
      <c r="Y24" s="32">
        <f>VLOOKUP(G24,G33:L58,4,0)</f>
        <v>6740.16</v>
      </c>
      <c r="Z24" s="32">
        <f t="shared" si="8"/>
        <v>18.5149432091625</v>
      </c>
      <c r="AA24" s="32">
        <f t="shared" si="9"/>
        <v>6.93298220114825</v>
      </c>
      <c r="AB24" s="32"/>
      <c r="AC24" s="32"/>
      <c r="AD24" s="32"/>
    </row>
    <row r="25" ht="15.6" spans="1:30">
      <c r="A25" s="41">
        <f>数据表!I26</f>
        <v>14</v>
      </c>
      <c r="B25" s="42" t="s">
        <v>257</v>
      </c>
      <c r="C25" s="43">
        <v>8</v>
      </c>
      <c r="D25" s="44">
        <v>1244</v>
      </c>
      <c r="E25" s="45">
        <f t="shared" si="28"/>
        <v>1244</v>
      </c>
      <c r="F25" s="39">
        <v>24</v>
      </c>
      <c r="G25" s="40" t="str">
        <f>VLOOKUP(24,数据表!C1:D26,2,0)</f>
        <v>魔方解析1h</v>
      </c>
      <c r="H25" s="40">
        <f>VLOOKUP(G25,B2:E27,4,0)</f>
        <v>3995</v>
      </c>
      <c r="I25" s="78">
        <f t="shared" si="10"/>
        <v>8515.67</v>
      </c>
      <c r="J25" s="78">
        <f t="shared" si="1"/>
        <v>0.469135135579467</v>
      </c>
      <c r="K25" s="78">
        <f t="shared" si="2"/>
        <v>0.156378378526489</v>
      </c>
      <c r="L25" s="78">
        <f t="shared" si="3"/>
        <v>0.106474926908887</v>
      </c>
      <c r="M25" s="78">
        <f t="shared" si="4"/>
        <v>0.893525073091113</v>
      </c>
      <c r="N25" s="78">
        <f t="shared" si="11"/>
        <v>0.000526313060855753</v>
      </c>
      <c r="O25" s="78">
        <f t="shared" si="12"/>
        <v>0.00441675735145016</v>
      </c>
      <c r="P25" s="40">
        <f t="shared" ref="P25:U25" si="36">P24</f>
        <v>0.785574117413755</v>
      </c>
      <c r="Q25" s="40">
        <f>IF(VLOOKUP(24,A2:C27,3,0)&gt;(24-'倾向-优先级表'!J13),VLOOKUP(24,A2:C27,3,0),24-'倾向-优先级表'!J13)</f>
        <v>6</v>
      </c>
      <c r="R25" s="40">
        <f t="shared" si="5"/>
        <v>0.026500544108701</v>
      </c>
      <c r="S25" s="40">
        <f t="shared" si="36"/>
        <v>1</v>
      </c>
      <c r="T25" s="40">
        <f t="shared" si="36"/>
        <v>13</v>
      </c>
      <c r="U25" s="40">
        <f t="shared" si="36"/>
        <v>0.402694395184916</v>
      </c>
      <c r="V25" s="40">
        <f t="shared" si="6"/>
        <v>0</v>
      </c>
      <c r="W25" s="103">
        <f t="shared" si="7"/>
        <v>0.00177860343032075</v>
      </c>
      <c r="X25" s="32">
        <f>VLOOKUP(G25,G33:L58,6,0)</f>
        <v>12000</v>
      </c>
      <c r="Y25" s="32">
        <f>VLOOKUP(G25,G33:L58,4,0)</f>
        <v>1991.84</v>
      </c>
      <c r="Z25" s="32">
        <f t="shared" si="8"/>
        <v>53.0010882174019</v>
      </c>
      <c r="AA25" s="32">
        <f t="shared" si="9"/>
        <v>8.79747396291249</v>
      </c>
      <c r="AB25" s="32"/>
      <c r="AC25" s="32"/>
      <c r="AD25" s="32"/>
    </row>
    <row r="26" ht="15.6" spans="1:30">
      <c r="A26" s="41">
        <f>数据表!I27</f>
        <v>23</v>
      </c>
      <c r="B26" s="42" t="s">
        <v>259</v>
      </c>
      <c r="C26" s="43">
        <v>12</v>
      </c>
      <c r="D26" s="44">
        <v>452</v>
      </c>
      <c r="E26" s="45">
        <f t="shared" si="28"/>
        <v>452</v>
      </c>
      <c r="F26" s="39">
        <v>25</v>
      </c>
      <c r="G26" s="40" t="str">
        <f>VLOOKUP(25,数据表!C1:D26,2,0)</f>
        <v>魔方解析2h</v>
      </c>
      <c r="H26" s="40">
        <f>VLOOKUP(G26,B2:E27,4,0)</f>
        <v>2649</v>
      </c>
      <c r="I26" s="78">
        <f t="shared" si="10"/>
        <v>4520.67</v>
      </c>
      <c r="J26" s="78">
        <f t="shared" si="1"/>
        <v>0.58597508776354</v>
      </c>
      <c r="K26" s="78">
        <f t="shared" si="2"/>
        <v>0.195325029254513</v>
      </c>
      <c r="L26" s="78">
        <f t="shared" si="3"/>
        <v>0.0459536917914029</v>
      </c>
      <c r="M26" s="78">
        <f t="shared" si="4"/>
        <v>0.954046308208597</v>
      </c>
      <c r="N26" s="78">
        <f t="shared" si="11"/>
        <v>2.41860281843551e-5</v>
      </c>
      <c r="O26" s="78">
        <f t="shared" si="12"/>
        <v>0.000502127032671397</v>
      </c>
      <c r="P26" s="40">
        <f t="shared" ref="P26:U26" si="37">P25</f>
        <v>0.785574117413755</v>
      </c>
      <c r="Q26" s="40">
        <f>IF(VLOOKUP(25,A2:C27,3,0)&gt;(24-'倾向-优先级表'!J13),VLOOKUP(25,A2:C27,3,0),24-'倾向-优先级表'!J13)</f>
        <v>6</v>
      </c>
      <c r="R26" s="40">
        <f t="shared" si="5"/>
        <v>0.00301276219602838</v>
      </c>
      <c r="S26" s="40">
        <f t="shared" si="37"/>
        <v>1</v>
      </c>
      <c r="T26" s="40">
        <f t="shared" si="37"/>
        <v>13</v>
      </c>
      <c r="U26" s="40">
        <f t="shared" si="37"/>
        <v>0.402694395184916</v>
      </c>
      <c r="V26" s="40">
        <f t="shared" si="6"/>
        <v>0</v>
      </c>
      <c r="W26" s="103">
        <f t="shared" si="7"/>
        <v>0.000202203741727605</v>
      </c>
      <c r="X26" s="32">
        <f>VLOOKUP(G26,G33:L58,6,0)</f>
        <v>15000</v>
      </c>
      <c r="Y26" s="32">
        <f>VLOOKUP(G26,G33:L58,4,0)</f>
        <v>2869.76</v>
      </c>
      <c r="Z26" s="32">
        <f t="shared" si="8"/>
        <v>7.53190549007096</v>
      </c>
      <c r="AA26" s="32">
        <f t="shared" si="9"/>
        <v>1.44098407327907</v>
      </c>
      <c r="AB26" s="32"/>
      <c r="AC26" s="32"/>
      <c r="AD26" s="32"/>
    </row>
    <row r="27" ht="16.35" spans="1:30">
      <c r="A27" s="47">
        <f>数据表!I28</f>
        <v>21</v>
      </c>
      <c r="B27" s="48" t="s">
        <v>261</v>
      </c>
      <c r="C27" s="49">
        <v>3</v>
      </c>
      <c r="D27" s="50">
        <v>769</v>
      </c>
      <c r="E27" s="51">
        <f t="shared" si="28"/>
        <v>769</v>
      </c>
      <c r="F27" s="52">
        <v>26</v>
      </c>
      <c r="G27" s="53" t="str">
        <f>VLOOKUP(26,数据表!C1:D26,2,0)</f>
        <v>魔方解析4h</v>
      </c>
      <c r="H27" s="53">
        <f>VLOOKUP(G27,B2:E27,4,0)</f>
        <v>591</v>
      </c>
      <c r="I27" s="79">
        <f t="shared" si="10"/>
        <v>1871.67</v>
      </c>
      <c r="J27" s="79">
        <f t="shared" si="1"/>
        <v>0.31576079116511</v>
      </c>
      <c r="K27" s="79">
        <f t="shared" si="2"/>
        <v>0.105253597055037</v>
      </c>
      <c r="L27" s="79">
        <f t="shared" si="3"/>
        <v>0.256462453556646</v>
      </c>
      <c r="M27" s="79">
        <f t="shared" si="4"/>
        <v>0.743537546443354</v>
      </c>
      <c r="N27" s="79">
        <f t="shared" si="11"/>
        <v>6.20280812994991e-6</v>
      </c>
      <c r="O27" s="79">
        <f t="shared" si="12"/>
        <v>1.79832200544052e-5</v>
      </c>
      <c r="P27" s="53">
        <f t="shared" ref="P27:U27" si="38">P26</f>
        <v>0.785574117413755</v>
      </c>
      <c r="Q27" s="53">
        <f>IF(VLOOKUP(26,A2:C27,3,0)&gt;(24-'倾向-优先级表'!J13),VLOOKUP(26,A2:C27,3,0),24-'倾向-优先级表'!J13)</f>
        <v>6</v>
      </c>
      <c r="R27" s="53">
        <f t="shared" si="5"/>
        <v>0.000107899320326431</v>
      </c>
      <c r="S27" s="53">
        <f t="shared" si="38"/>
        <v>1</v>
      </c>
      <c r="T27" s="53">
        <f t="shared" si="38"/>
        <v>13</v>
      </c>
      <c r="U27" s="53">
        <f t="shared" si="38"/>
        <v>0.402694395184916</v>
      </c>
      <c r="V27" s="53">
        <f t="shared" si="6"/>
        <v>0</v>
      </c>
      <c r="W27" s="104">
        <f t="shared" si="7"/>
        <v>7.24174192328596e-6</v>
      </c>
      <c r="X27" s="32">
        <f>VLOOKUP(G27,G33:L58,6,0)</f>
        <v>19000</v>
      </c>
      <c r="Y27" s="32">
        <f>VLOOKUP(G27,G33:L58,4,0)</f>
        <v>3804.32</v>
      </c>
      <c r="Z27" s="32">
        <f t="shared" si="8"/>
        <v>0.341681181033699</v>
      </c>
      <c r="AA27" s="32">
        <f t="shared" si="9"/>
        <v>0.0684139237173749</v>
      </c>
      <c r="AB27" s="32"/>
      <c r="AC27" s="32"/>
      <c r="AD27" s="32"/>
    </row>
    <row r="28" spans="1:30">
      <c r="A28" s="54" t="s">
        <v>319</v>
      </c>
      <c r="B28" s="32">
        <f>IF(D30=5,3,3-'倾向-优先级表'!E8)</f>
        <v>3</v>
      </c>
      <c r="C28" s="32">
        <f>SUM(D2:D27)</f>
        <v>35386</v>
      </c>
      <c r="D28" s="32">
        <f>B28/C29</f>
        <v>0.6</v>
      </c>
      <c r="E28" s="55">
        <f>B28/C30</f>
        <v>0.214285714285714</v>
      </c>
      <c r="G28" s="32"/>
      <c r="H28" s="32"/>
      <c r="I28" s="32"/>
      <c r="J28" s="32"/>
      <c r="K28" s="32"/>
      <c r="L28" s="32"/>
      <c r="M28" s="32"/>
      <c r="N28" s="32"/>
      <c r="O28" s="32"/>
      <c r="P28" s="32"/>
      <c r="Q28" s="105" t="s">
        <v>320</v>
      </c>
      <c r="R28" s="106">
        <f>SUM(R2:R27)</f>
        <v>6.18881342004755</v>
      </c>
      <c r="S28" s="106" t="s">
        <v>321</v>
      </c>
      <c r="T28" s="106">
        <f>P27^R29</f>
        <v>0.785574117413755</v>
      </c>
      <c r="U28" s="106" t="s">
        <v>322</v>
      </c>
      <c r="V28" s="107">
        <f>白天模拟!V28+'倾向-优先级表'!Q16*T29+(1-'倾向-优先级表'!Q16)*T29^2</f>
        <v>0.402694395184916</v>
      </c>
      <c r="W28" s="32"/>
      <c r="X28" s="32"/>
      <c r="Y28" s="32"/>
      <c r="Z28" s="32">
        <f>SUM(Z2:Z27)</f>
        <v>9348.76393309414</v>
      </c>
      <c r="AA28" s="32">
        <f>SUM(AA2:AA27)</f>
        <v>6415.94243920616</v>
      </c>
      <c r="AB28" s="32">
        <f>100*AA28/Z28</f>
        <v>68.6287779338834</v>
      </c>
      <c r="AC28" s="32"/>
      <c r="AD28" s="32"/>
    </row>
    <row r="29" ht="15.15" spans="1:30">
      <c r="A29" s="54" t="s">
        <v>323</v>
      </c>
      <c r="B29" s="32">
        <f>IF(D30=5,2,2-'倾向-优先级表'!H8)</f>
        <v>2</v>
      </c>
      <c r="C29" s="32">
        <f>B28+B29</f>
        <v>5</v>
      </c>
      <c r="D29" s="32">
        <f>B29/C29</f>
        <v>0.4</v>
      </c>
      <c r="E29" s="55">
        <f>B29/C30</f>
        <v>0.142857142857143</v>
      </c>
      <c r="F29" s="32"/>
      <c r="G29" s="32"/>
      <c r="H29" s="32"/>
      <c r="I29" s="32"/>
      <c r="J29" s="32"/>
      <c r="K29" s="32"/>
      <c r="L29" s="32"/>
      <c r="M29" s="32"/>
      <c r="N29" s="32"/>
      <c r="O29" s="32"/>
      <c r="P29" s="32"/>
      <c r="Q29" s="56" t="s">
        <v>324</v>
      </c>
      <c r="R29" s="57">
        <v>1</v>
      </c>
      <c r="S29" s="57" t="s">
        <v>325</v>
      </c>
      <c r="T29" s="57">
        <f>R29*(1-P2)</f>
        <v>0.214425882586245</v>
      </c>
      <c r="U29" s="100"/>
      <c r="V29" s="101"/>
      <c r="W29" s="32"/>
      <c r="X29" s="32"/>
      <c r="Y29" s="32"/>
      <c r="Z29" s="32"/>
      <c r="AA29" s="32"/>
      <c r="AB29" s="32"/>
      <c r="AC29" s="32"/>
      <c r="AD29" s="32"/>
    </row>
    <row r="30" ht="15.15" spans="1:30">
      <c r="A30" s="56" t="s">
        <v>326</v>
      </c>
      <c r="B30" s="57">
        <f>IF(('倾向-优先级表'!L8+B28+B29)=16,11,11-'倾向-优先级表'!L8)</f>
        <v>9</v>
      </c>
      <c r="C30" s="57">
        <f>SUM(B28:B30)</f>
        <v>14</v>
      </c>
      <c r="D30" s="57">
        <f>'倾向-优先级表'!E8+'倾向-优先级表'!H8</f>
        <v>5</v>
      </c>
      <c r="E30" s="58"/>
      <c r="F30" s="32"/>
      <c r="G30" s="32"/>
      <c r="H30" s="32"/>
      <c r="I30" s="32"/>
      <c r="J30" s="32"/>
      <c r="K30" s="32"/>
      <c r="L30" s="32"/>
      <c r="M30" s="32"/>
      <c r="N30" s="32"/>
      <c r="O30" s="32"/>
      <c r="P30" s="32"/>
      <c r="Q30" s="32"/>
      <c r="R30" s="32"/>
      <c r="U30" s="32"/>
      <c r="V30" s="32"/>
      <c r="W30" s="32"/>
      <c r="X30" s="32"/>
      <c r="Y30" s="32"/>
      <c r="Z30" s="32"/>
      <c r="AA30" s="32"/>
      <c r="AB30" s="32"/>
      <c r="AC30" s="32"/>
      <c r="AD30" s="32"/>
    </row>
    <row r="31" ht="15.6" spans="1:30">
      <c r="A31" s="32"/>
      <c r="B31" s="32"/>
      <c r="C31" s="32"/>
      <c r="D31" s="32"/>
      <c r="E31" s="32"/>
      <c r="F31" s="32"/>
      <c r="G31" s="59" t="s">
        <v>102</v>
      </c>
      <c r="H31" s="60"/>
      <c r="I31" s="80" t="s">
        <v>327</v>
      </c>
      <c r="J31" s="80" t="s">
        <v>316</v>
      </c>
      <c r="K31" s="80" t="s">
        <v>328</v>
      </c>
      <c r="L31" s="81" t="s">
        <v>315</v>
      </c>
      <c r="M31" s="64" t="s">
        <v>329</v>
      </c>
      <c r="N31" s="59" t="s">
        <v>216</v>
      </c>
      <c r="O31" s="60"/>
      <c r="P31" s="60"/>
      <c r="Q31" s="60"/>
      <c r="R31" s="60"/>
      <c r="S31" s="108" t="s">
        <v>330</v>
      </c>
      <c r="T31" s="109"/>
      <c r="U31" s="109"/>
      <c r="V31" s="109"/>
      <c r="W31" s="110"/>
      <c r="X31" s="34" t="s">
        <v>331</v>
      </c>
      <c r="Y31" s="34" t="s">
        <v>332</v>
      </c>
      <c r="Z31" s="80" t="s">
        <v>333</v>
      </c>
      <c r="AA31" s="80"/>
      <c r="AB31" s="113" t="s">
        <v>334</v>
      </c>
      <c r="AC31" s="114"/>
      <c r="AD31" s="32"/>
    </row>
    <row r="32" ht="15.6" spans="1:30">
      <c r="A32" s="32"/>
      <c r="B32" s="32"/>
      <c r="C32" s="32"/>
      <c r="D32" s="32"/>
      <c r="E32" s="32"/>
      <c r="F32" s="32"/>
      <c r="G32" s="61" t="s">
        <v>219</v>
      </c>
      <c r="H32" s="62" t="s">
        <v>220</v>
      </c>
      <c r="I32" s="82"/>
      <c r="J32" s="82"/>
      <c r="K32" s="82"/>
      <c r="L32" s="83"/>
      <c r="M32" s="65"/>
      <c r="N32" s="61" t="s">
        <v>73</v>
      </c>
      <c r="O32" s="62" t="s">
        <v>78</v>
      </c>
      <c r="P32" s="62" t="s">
        <v>89</v>
      </c>
      <c r="Q32" s="67" t="s">
        <v>335</v>
      </c>
      <c r="R32" s="40" t="s">
        <v>120</v>
      </c>
      <c r="S32" s="62" t="s">
        <v>73</v>
      </c>
      <c r="T32" s="62" t="s">
        <v>78</v>
      </c>
      <c r="U32" s="62" t="s">
        <v>89</v>
      </c>
      <c r="V32" s="40" t="s">
        <v>335</v>
      </c>
      <c r="W32" s="40" t="s">
        <v>120</v>
      </c>
      <c r="X32" s="40"/>
      <c r="Y32" s="40"/>
      <c r="Z32" s="62" t="s">
        <v>119</v>
      </c>
      <c r="AA32" s="62" t="s">
        <v>118</v>
      </c>
      <c r="AB32" s="40" t="s">
        <v>119</v>
      </c>
      <c r="AC32" s="103" t="s">
        <v>118</v>
      </c>
      <c r="AD32" s="32"/>
    </row>
    <row r="33" ht="15.6" spans="1:29">
      <c r="A33" s="32"/>
      <c r="B33" s="32"/>
      <c r="C33" s="32"/>
      <c r="D33" s="32"/>
      <c r="E33" s="32"/>
      <c r="F33" s="32"/>
      <c r="G33" s="41" t="s">
        <v>212</v>
      </c>
      <c r="H33" s="43">
        <v>1</v>
      </c>
      <c r="I33" s="40">
        <f>VLOOKUP(G33,G2:W27,17,0)</f>
        <v>0.00177860343032075</v>
      </c>
      <c r="J33" s="40">
        <f>数据表!T3</f>
        <v>1991.84</v>
      </c>
      <c r="K33" s="40">
        <f t="shared" ref="K33:K58" si="39">J33*I33</f>
        <v>3.54269345665009</v>
      </c>
      <c r="L33" s="40">
        <f>数据表!S3</f>
        <v>12000</v>
      </c>
      <c r="M33" s="65">
        <f t="shared" ref="M33:M58" si="40">I33*L33</f>
        <v>21.343241163849</v>
      </c>
      <c r="N33" s="84">
        <v>2.8</v>
      </c>
      <c r="O33" s="85">
        <v>0.71</v>
      </c>
      <c r="P33" s="86">
        <v>0</v>
      </c>
      <c r="Q33" s="40">
        <v>0</v>
      </c>
      <c r="R33" s="40">
        <f>数据表!P3*H33</f>
        <v>40</v>
      </c>
      <c r="S33" s="40">
        <f t="shared" ref="S33:S58" si="41">N33*I33*H33</f>
        <v>0.00498008960489811</v>
      </c>
      <c r="T33" s="40">
        <f t="shared" ref="T33:T58" si="42">O33*I33*H33</f>
        <v>0.00126280843552773</v>
      </c>
      <c r="U33" s="40">
        <f t="shared" ref="U33:U58" si="43">P33*I33*H33</f>
        <v>0</v>
      </c>
      <c r="V33" s="40">
        <f t="shared" ref="V33:V58" si="44">I33*Q33</f>
        <v>0</v>
      </c>
      <c r="W33" s="40">
        <f t="shared" ref="W33:W58" si="45">R33*I33</f>
        <v>0.0711441372128301</v>
      </c>
      <c r="X33" s="40">
        <f>数据表!G3+数据表!F32</f>
        <v>1</v>
      </c>
      <c r="Y33" s="40">
        <f t="shared" ref="Y33:Y58" si="46">I33*X33</f>
        <v>0.00177860343032075</v>
      </c>
      <c r="Z33" s="115">
        <v>0</v>
      </c>
      <c r="AA33" s="115">
        <v>3</v>
      </c>
      <c r="AB33" s="40">
        <f t="shared" ref="AB33:AB58" si="47">Z33*I33</f>
        <v>0</v>
      </c>
      <c r="AC33" s="103">
        <f t="shared" ref="AC33:AC58" si="48">AA33*I33</f>
        <v>0.00533581029096226</v>
      </c>
    </row>
    <row r="34" ht="15.6" spans="1:29">
      <c r="A34" s="32"/>
      <c r="B34" s="32"/>
      <c r="C34" s="32"/>
      <c r="D34" s="32"/>
      <c r="E34" s="32"/>
      <c r="F34" s="32"/>
      <c r="G34" s="41" t="s">
        <v>218</v>
      </c>
      <c r="H34" s="43">
        <v>2</v>
      </c>
      <c r="I34" s="40">
        <f>VLOOKUP(G34,G2:W27,17,0)</f>
        <v>0.000202203741727605</v>
      </c>
      <c r="J34" s="40">
        <f>数据表!T4</f>
        <v>2869.76</v>
      </c>
      <c r="K34" s="40">
        <f t="shared" si="39"/>
        <v>0.580276209860211</v>
      </c>
      <c r="L34" s="40">
        <f>数据表!S4</f>
        <v>15000</v>
      </c>
      <c r="M34" s="65">
        <f t="shared" si="40"/>
        <v>3.03305612591407</v>
      </c>
      <c r="N34" s="84">
        <v>1.96</v>
      </c>
      <c r="O34" s="85">
        <v>0.54</v>
      </c>
      <c r="P34" s="86">
        <v>0</v>
      </c>
      <c r="Q34" s="40">
        <v>0</v>
      </c>
      <c r="R34" s="40">
        <f>数据表!P4*H34</f>
        <v>60.32</v>
      </c>
      <c r="S34" s="40">
        <f t="shared" si="41"/>
        <v>0.00079263866757221</v>
      </c>
      <c r="T34" s="40">
        <f t="shared" si="42"/>
        <v>0.000218380041065813</v>
      </c>
      <c r="U34" s="40">
        <f t="shared" si="43"/>
        <v>0</v>
      </c>
      <c r="V34" s="40">
        <f t="shared" si="44"/>
        <v>0</v>
      </c>
      <c r="W34" s="40">
        <f t="shared" si="45"/>
        <v>0.0121969297010091</v>
      </c>
      <c r="X34" s="40">
        <f>数据表!G4+数据表!F32</f>
        <v>2</v>
      </c>
      <c r="Y34" s="40">
        <f t="shared" si="46"/>
        <v>0.000404407483455209</v>
      </c>
      <c r="Z34" s="115">
        <v>0</v>
      </c>
      <c r="AA34" s="115">
        <v>6</v>
      </c>
      <c r="AB34" s="40">
        <f t="shared" si="47"/>
        <v>0</v>
      </c>
      <c r="AC34" s="103">
        <f t="shared" si="48"/>
        <v>0.00121322245036563</v>
      </c>
    </row>
    <row r="35" ht="15.6" spans="1:29">
      <c r="A35" s="32"/>
      <c r="B35" s="32"/>
      <c r="C35" s="32"/>
      <c r="D35" s="32"/>
      <c r="E35" s="32"/>
      <c r="F35" s="32"/>
      <c r="G35" s="41" t="s">
        <v>229</v>
      </c>
      <c r="H35" s="43">
        <v>4</v>
      </c>
      <c r="I35" s="40">
        <f>VLOOKUP(G35,G2:W27,17,0)</f>
        <v>7.24174192328596e-6</v>
      </c>
      <c r="J35" s="40">
        <f>数据表!T5</f>
        <v>3804.32</v>
      </c>
      <c r="K35" s="40">
        <f t="shared" si="39"/>
        <v>0.0275499036335952</v>
      </c>
      <c r="L35" s="40">
        <f>数据表!S5</f>
        <v>19000</v>
      </c>
      <c r="M35" s="65">
        <f t="shared" si="40"/>
        <v>0.137593096542433</v>
      </c>
      <c r="N35" s="84">
        <v>1.395</v>
      </c>
      <c r="O35" s="85">
        <v>0.31</v>
      </c>
      <c r="P35" s="86">
        <v>0</v>
      </c>
      <c r="Q35" s="40">
        <v>0</v>
      </c>
      <c r="R35" s="40">
        <f>数据表!P5*H35</f>
        <v>83.08</v>
      </c>
      <c r="S35" s="40">
        <f t="shared" si="41"/>
        <v>4.04089199319356e-5</v>
      </c>
      <c r="T35" s="40">
        <f t="shared" si="42"/>
        <v>8.97975998487459e-6</v>
      </c>
      <c r="U35" s="40">
        <f t="shared" si="43"/>
        <v>0</v>
      </c>
      <c r="V35" s="40">
        <f t="shared" si="44"/>
        <v>0</v>
      </c>
      <c r="W35" s="40">
        <f t="shared" si="45"/>
        <v>0.000601643918986597</v>
      </c>
      <c r="X35" s="40">
        <f>数据表!G5+数据表!F32</f>
        <v>4</v>
      </c>
      <c r="Y35" s="40">
        <f t="shared" si="46"/>
        <v>2.89669676931438e-5</v>
      </c>
      <c r="Z35" s="115">
        <v>0</v>
      </c>
      <c r="AA35" s="115">
        <v>10</v>
      </c>
      <c r="AB35" s="40">
        <f t="shared" si="47"/>
        <v>0</v>
      </c>
      <c r="AC35" s="103">
        <f t="shared" si="48"/>
        <v>7.24174192328596e-5</v>
      </c>
    </row>
    <row r="36" ht="15.6" spans="1:29">
      <c r="A36" s="32"/>
      <c r="B36" s="32"/>
      <c r="C36" s="32"/>
      <c r="D36" s="32"/>
      <c r="E36" s="32"/>
      <c r="F36" s="32"/>
      <c r="G36" s="41" t="s">
        <v>231</v>
      </c>
      <c r="H36" s="43">
        <v>0.5</v>
      </c>
      <c r="I36" s="40">
        <f>VLOOKUP(G36,G2:W27,17,0)</f>
        <v>4.35337577931589e-5</v>
      </c>
      <c r="J36" s="40">
        <f>数据表!T6</f>
        <v>3237.92</v>
      </c>
      <c r="K36" s="40">
        <f t="shared" si="39"/>
        <v>0.140958825033625</v>
      </c>
      <c r="L36" s="40">
        <f>数据表!S6</f>
        <v>12000</v>
      </c>
      <c r="M36" s="65">
        <f t="shared" si="40"/>
        <v>0.522405093517907</v>
      </c>
      <c r="N36" s="84">
        <v>9.78</v>
      </c>
      <c r="O36" s="85">
        <v>1.97</v>
      </c>
      <c r="P36" s="86">
        <v>0</v>
      </c>
      <c r="Q36" s="40">
        <v>0</v>
      </c>
      <c r="R36" s="40">
        <f>数据表!P6*H36</f>
        <v>97.245</v>
      </c>
      <c r="S36" s="40">
        <f t="shared" si="41"/>
        <v>0.000212880075608547</v>
      </c>
      <c r="T36" s="40">
        <f t="shared" si="42"/>
        <v>4.28807514262615e-5</v>
      </c>
      <c r="U36" s="40">
        <f t="shared" si="43"/>
        <v>0</v>
      </c>
      <c r="V36" s="40">
        <f t="shared" si="44"/>
        <v>0</v>
      </c>
      <c r="W36" s="40">
        <f t="shared" si="45"/>
        <v>0.00423344027659574</v>
      </c>
      <c r="X36" s="40">
        <f>数据表!G6+数据表!F32</f>
        <v>0.5</v>
      </c>
      <c r="Y36" s="40">
        <f t="shared" si="46"/>
        <v>2.17668788965795e-5</v>
      </c>
      <c r="Z36" s="115">
        <v>8000</v>
      </c>
      <c r="AA36" s="115">
        <v>5</v>
      </c>
      <c r="AB36" s="40">
        <f t="shared" si="47"/>
        <v>0.348270062345271</v>
      </c>
      <c r="AC36" s="103">
        <f t="shared" si="48"/>
        <v>0.000217668788965795</v>
      </c>
    </row>
    <row r="37" ht="15.6" spans="1:29">
      <c r="A37" s="32"/>
      <c r="B37" s="32"/>
      <c r="C37" s="32"/>
      <c r="D37" s="32"/>
      <c r="E37" s="32"/>
      <c r="F37" s="32"/>
      <c r="G37" s="41" t="s">
        <v>232</v>
      </c>
      <c r="H37" s="43">
        <v>1</v>
      </c>
      <c r="I37" s="40">
        <f>VLOOKUP(G37,G2:W27,17,0)</f>
        <v>0.0202979468095837</v>
      </c>
      <c r="J37" s="40">
        <f>数据表!T7</f>
        <v>2945.28</v>
      </c>
      <c r="K37" s="40">
        <f t="shared" si="39"/>
        <v>59.7831367793306</v>
      </c>
      <c r="L37" s="40">
        <f>数据表!S7</f>
        <v>9000</v>
      </c>
      <c r="M37" s="65">
        <f t="shared" si="40"/>
        <v>182.681521286253</v>
      </c>
      <c r="N37" s="84">
        <v>0</v>
      </c>
      <c r="O37" s="85">
        <v>0</v>
      </c>
      <c r="P37" s="86">
        <v>0.052</v>
      </c>
      <c r="Q37" s="40">
        <v>0.44</v>
      </c>
      <c r="R37" s="40">
        <f>数据表!P7*H37</f>
        <v>0</v>
      </c>
      <c r="S37" s="40">
        <f t="shared" si="41"/>
        <v>0</v>
      </c>
      <c r="T37" s="40">
        <f t="shared" si="42"/>
        <v>0</v>
      </c>
      <c r="U37" s="40">
        <f t="shared" si="43"/>
        <v>0.00105549323409835</v>
      </c>
      <c r="V37" s="40">
        <f t="shared" si="44"/>
        <v>0.00893109659621682</v>
      </c>
      <c r="W37" s="40">
        <f t="shared" si="45"/>
        <v>0</v>
      </c>
      <c r="X37" s="40">
        <f>数据表!G7+数据表!F32</f>
        <v>1</v>
      </c>
      <c r="Y37" s="40">
        <f t="shared" si="46"/>
        <v>0.0202979468095837</v>
      </c>
      <c r="Z37" s="115">
        <v>0</v>
      </c>
      <c r="AA37" s="115">
        <v>0</v>
      </c>
      <c r="AB37" s="40">
        <f t="shared" si="47"/>
        <v>0</v>
      </c>
      <c r="AC37" s="103">
        <f t="shared" si="48"/>
        <v>0</v>
      </c>
    </row>
    <row r="38" ht="15.6" spans="1:29">
      <c r="A38" s="32"/>
      <c r="B38" s="32"/>
      <c r="C38" s="32"/>
      <c r="D38" s="32"/>
      <c r="E38" s="32"/>
      <c r="F38" s="32"/>
      <c r="G38" s="41" t="s">
        <v>233</v>
      </c>
      <c r="H38" s="43">
        <v>2</v>
      </c>
      <c r="I38" s="40">
        <f>VLOOKUP(G38,G2:W27,17,0)</f>
        <v>0.123782768852184</v>
      </c>
      <c r="J38" s="40">
        <f>数据表!T8</f>
        <v>5324.16</v>
      </c>
      <c r="K38" s="40">
        <f t="shared" si="39"/>
        <v>659.039266612043</v>
      </c>
      <c r="L38" s="40">
        <f>数据表!S8</f>
        <v>9000</v>
      </c>
      <c r="M38" s="65">
        <f t="shared" si="40"/>
        <v>1114.04491966965</v>
      </c>
      <c r="N38" s="84">
        <v>0</v>
      </c>
      <c r="O38" s="85">
        <v>0</v>
      </c>
      <c r="P38" s="86">
        <v>0.047</v>
      </c>
      <c r="Q38" s="40">
        <v>0.79</v>
      </c>
      <c r="R38" s="40">
        <f>数据表!P8*H38</f>
        <v>0</v>
      </c>
      <c r="S38" s="40">
        <f t="shared" si="41"/>
        <v>0</v>
      </c>
      <c r="T38" s="40">
        <f t="shared" si="42"/>
        <v>0</v>
      </c>
      <c r="U38" s="40">
        <f t="shared" si="43"/>
        <v>0.0116355802721053</v>
      </c>
      <c r="V38" s="40">
        <f t="shared" si="44"/>
        <v>0.0977883873932252</v>
      </c>
      <c r="W38" s="40">
        <f t="shared" si="45"/>
        <v>0</v>
      </c>
      <c r="X38" s="40">
        <f>数据表!G8+数据表!F32</f>
        <v>2</v>
      </c>
      <c r="Y38" s="40">
        <f t="shared" si="46"/>
        <v>0.247565537704367</v>
      </c>
      <c r="Z38" s="115">
        <v>0</v>
      </c>
      <c r="AA38" s="115">
        <v>0</v>
      </c>
      <c r="AB38" s="40">
        <f t="shared" si="47"/>
        <v>0</v>
      </c>
      <c r="AC38" s="103">
        <f t="shared" si="48"/>
        <v>0</v>
      </c>
    </row>
    <row r="39" ht="15.6" spans="1:29">
      <c r="A39" s="32"/>
      <c r="B39" s="32"/>
      <c r="C39" s="32"/>
      <c r="D39" s="32"/>
      <c r="E39" s="32"/>
      <c r="F39" s="32"/>
      <c r="G39" s="41" t="s">
        <v>235</v>
      </c>
      <c r="H39" s="43">
        <v>4</v>
      </c>
      <c r="I39" s="40">
        <f>VLOOKUP(G39,G2:W27,17,0)</f>
        <v>0.0938190473445378</v>
      </c>
      <c r="J39" s="40">
        <f>数据表!T9</f>
        <v>11554.56</v>
      </c>
      <c r="K39" s="40">
        <f t="shared" si="39"/>
        <v>1084.0378116853</v>
      </c>
      <c r="L39" s="40">
        <f>数据表!S9</f>
        <v>9000</v>
      </c>
      <c r="M39" s="65">
        <f t="shared" si="40"/>
        <v>844.37142610084</v>
      </c>
      <c r="N39" s="84">
        <v>0</v>
      </c>
      <c r="O39" s="85">
        <v>0</v>
      </c>
      <c r="P39" s="86">
        <v>0.051</v>
      </c>
      <c r="Q39" s="40">
        <v>1.4</v>
      </c>
      <c r="R39" s="40">
        <f>数据表!P9*H39</f>
        <v>0</v>
      </c>
      <c r="S39" s="40">
        <f t="shared" si="41"/>
        <v>0</v>
      </c>
      <c r="T39" s="40">
        <f t="shared" si="42"/>
        <v>0</v>
      </c>
      <c r="U39" s="40">
        <f t="shared" si="43"/>
        <v>0.0191390856582857</v>
      </c>
      <c r="V39" s="40">
        <f t="shared" si="44"/>
        <v>0.131346666282353</v>
      </c>
      <c r="W39" s="40">
        <f t="shared" si="45"/>
        <v>0</v>
      </c>
      <c r="X39" s="40">
        <f>数据表!G9+数据表!F32</f>
        <v>4</v>
      </c>
      <c r="Y39" s="40">
        <f t="shared" si="46"/>
        <v>0.375276189378151</v>
      </c>
      <c r="Z39" s="115">
        <v>0</v>
      </c>
      <c r="AA39" s="115">
        <v>0</v>
      </c>
      <c r="AB39" s="40">
        <f t="shared" si="47"/>
        <v>0</v>
      </c>
      <c r="AC39" s="103">
        <f t="shared" si="48"/>
        <v>0</v>
      </c>
    </row>
    <row r="40" ht="15.6" spans="1:29">
      <c r="A40" s="32"/>
      <c r="B40" s="32"/>
      <c r="C40" s="32"/>
      <c r="D40" s="32"/>
      <c r="E40" s="32"/>
      <c r="F40" s="32"/>
      <c r="G40" s="41" t="s">
        <v>237</v>
      </c>
      <c r="H40" s="43">
        <v>0.5</v>
      </c>
      <c r="I40" s="40">
        <f>VLOOKUP(G40,G2:W27,17,0)</f>
        <v>0.0500993768386323</v>
      </c>
      <c r="J40" s="40">
        <f>数据表!T10</f>
        <v>23109.12</v>
      </c>
      <c r="K40" s="40">
        <f t="shared" si="39"/>
        <v>1157.75251128917</v>
      </c>
      <c r="L40" s="40">
        <f>数据表!S10</f>
        <v>9000</v>
      </c>
      <c r="M40" s="65">
        <f t="shared" si="40"/>
        <v>450.894391547691</v>
      </c>
      <c r="N40" s="84">
        <v>0</v>
      </c>
      <c r="O40" s="85">
        <v>0</v>
      </c>
      <c r="P40" s="86">
        <v>0.816</v>
      </c>
      <c r="Q40" s="40">
        <v>3.4</v>
      </c>
      <c r="R40" s="40">
        <f>数据表!P10*H40</f>
        <v>0</v>
      </c>
      <c r="S40" s="40">
        <f t="shared" si="41"/>
        <v>0</v>
      </c>
      <c r="T40" s="40">
        <f t="shared" si="42"/>
        <v>0</v>
      </c>
      <c r="U40" s="40">
        <f t="shared" si="43"/>
        <v>0.020440545750162</v>
      </c>
      <c r="V40" s="40">
        <f t="shared" si="44"/>
        <v>0.17033788125135</v>
      </c>
      <c r="W40" s="40">
        <f t="shared" si="45"/>
        <v>0</v>
      </c>
      <c r="X40" s="40">
        <f>数据表!G10+数据表!F32</f>
        <v>0.5</v>
      </c>
      <c r="Y40" s="40">
        <f t="shared" si="46"/>
        <v>0.0250496884193162</v>
      </c>
      <c r="Z40" s="115">
        <v>5000</v>
      </c>
      <c r="AA40" s="115">
        <v>0</v>
      </c>
      <c r="AB40" s="40">
        <f t="shared" si="47"/>
        <v>250.496884193162</v>
      </c>
      <c r="AC40" s="103">
        <f t="shared" si="48"/>
        <v>0</v>
      </c>
    </row>
    <row r="41" ht="15.6" spans="1:29">
      <c r="A41" s="32"/>
      <c r="B41" s="32"/>
      <c r="C41" s="32"/>
      <c r="D41" s="32"/>
      <c r="E41" s="32"/>
      <c r="F41" s="32"/>
      <c r="G41" s="41" t="s">
        <v>238</v>
      </c>
      <c r="H41" s="43">
        <v>2.5</v>
      </c>
      <c r="I41" s="40">
        <f>VLOOKUP(G41,G2:W27,17,0)</f>
        <v>0.0276630442098803</v>
      </c>
      <c r="J41" s="40">
        <f>数据表!T11</f>
        <v>3068</v>
      </c>
      <c r="K41" s="40">
        <f t="shared" si="39"/>
        <v>84.8702196359126</v>
      </c>
      <c r="L41" s="40">
        <f>数据表!S11</f>
        <v>9000</v>
      </c>
      <c r="M41" s="65">
        <f t="shared" si="40"/>
        <v>248.967397888922</v>
      </c>
      <c r="N41" s="84">
        <v>0.92</v>
      </c>
      <c r="O41" s="85">
        <v>0</v>
      </c>
      <c r="P41" s="86">
        <v>0.014</v>
      </c>
      <c r="Q41" s="40">
        <v>0.37</v>
      </c>
      <c r="R41" s="40">
        <f>数据表!P11*H41</f>
        <v>0</v>
      </c>
      <c r="S41" s="40">
        <f t="shared" si="41"/>
        <v>0.0636250016827246</v>
      </c>
      <c r="T41" s="40">
        <f t="shared" si="42"/>
        <v>0</v>
      </c>
      <c r="U41" s="40">
        <f t="shared" si="43"/>
        <v>0.000968206547345809</v>
      </c>
      <c r="V41" s="40">
        <f t="shared" si="44"/>
        <v>0.0102353263576557</v>
      </c>
      <c r="W41" s="40">
        <f t="shared" si="45"/>
        <v>0</v>
      </c>
      <c r="X41" s="40">
        <f>数据表!G11+数据表!F32</f>
        <v>2.5</v>
      </c>
      <c r="Y41" s="40">
        <f t="shared" si="46"/>
        <v>0.0691576105247006</v>
      </c>
      <c r="Z41" s="115">
        <v>3000</v>
      </c>
      <c r="AA41" s="115">
        <v>0</v>
      </c>
      <c r="AB41" s="40">
        <f t="shared" si="47"/>
        <v>82.9891326296408</v>
      </c>
      <c r="AC41" s="103">
        <f t="shared" si="48"/>
        <v>0</v>
      </c>
    </row>
    <row r="42" ht="15.6" spans="1:29">
      <c r="A42" s="32"/>
      <c r="B42" s="32"/>
      <c r="C42" s="32"/>
      <c r="D42" s="32"/>
      <c r="E42" s="32"/>
      <c r="F42" s="32"/>
      <c r="G42" s="41" t="s">
        <v>239</v>
      </c>
      <c r="H42" s="43">
        <v>5</v>
      </c>
      <c r="I42" s="40">
        <f>VLOOKUP(G42,G2:W27,17,0)</f>
        <v>0.109686901672296</v>
      </c>
      <c r="J42" s="40">
        <f>数据表!T12</f>
        <v>4602</v>
      </c>
      <c r="K42" s="40">
        <f t="shared" si="39"/>
        <v>504.779121495906</v>
      </c>
      <c r="L42" s="40">
        <f>数据表!S12</f>
        <v>9000</v>
      </c>
      <c r="M42" s="65">
        <f t="shared" si="40"/>
        <v>987.182115050664</v>
      </c>
      <c r="N42" s="84">
        <v>0.75</v>
      </c>
      <c r="O42" s="85">
        <v>0</v>
      </c>
      <c r="P42" s="86">
        <v>0.01</v>
      </c>
      <c r="Q42" s="40">
        <v>0.66</v>
      </c>
      <c r="R42" s="40">
        <f>数据表!P12*H42</f>
        <v>0</v>
      </c>
      <c r="S42" s="40">
        <f t="shared" si="41"/>
        <v>0.41132588127111</v>
      </c>
      <c r="T42" s="40">
        <f t="shared" si="42"/>
        <v>0</v>
      </c>
      <c r="U42" s="40">
        <f t="shared" si="43"/>
        <v>0.0054843450836148</v>
      </c>
      <c r="V42" s="40">
        <f t="shared" si="44"/>
        <v>0.0723933551037153</v>
      </c>
      <c r="W42" s="40">
        <f t="shared" si="45"/>
        <v>0</v>
      </c>
      <c r="X42" s="40">
        <f>数据表!G12+数据表!F32</f>
        <v>5</v>
      </c>
      <c r="Y42" s="40">
        <f t="shared" si="46"/>
        <v>0.54843450836148</v>
      </c>
      <c r="Z42" s="115">
        <v>5000</v>
      </c>
      <c r="AA42" s="115">
        <v>0</v>
      </c>
      <c r="AB42" s="40">
        <f t="shared" si="47"/>
        <v>548.43450836148</v>
      </c>
      <c r="AC42" s="103">
        <f t="shared" si="48"/>
        <v>0</v>
      </c>
    </row>
    <row r="43" ht="15.6" spans="1:29">
      <c r="A43" s="32"/>
      <c r="B43" s="32"/>
      <c r="C43" s="32"/>
      <c r="D43" s="32"/>
      <c r="E43" s="32"/>
      <c r="F43" s="32"/>
      <c r="G43" s="41" t="s">
        <v>240</v>
      </c>
      <c r="H43" s="43">
        <v>8</v>
      </c>
      <c r="I43" s="40">
        <f>VLOOKUP(G43,G2:W27,17,0)</f>
        <v>0.0364714493785242</v>
      </c>
      <c r="J43" s="40">
        <f>数据表!T13</f>
        <v>7816.32</v>
      </c>
      <c r="K43" s="40">
        <f t="shared" si="39"/>
        <v>285.072519206346</v>
      </c>
      <c r="L43" s="40">
        <f>数据表!S13</f>
        <v>12000</v>
      </c>
      <c r="M43" s="65">
        <f t="shared" si="40"/>
        <v>437.65739254229</v>
      </c>
      <c r="N43" s="84">
        <v>0.75</v>
      </c>
      <c r="O43" s="85">
        <v>0</v>
      </c>
      <c r="P43" s="86">
        <v>0.011</v>
      </c>
      <c r="Q43" s="40">
        <v>0.9</v>
      </c>
      <c r="R43" s="40">
        <f>数据表!P13*H43</f>
        <v>0</v>
      </c>
      <c r="S43" s="40">
        <f t="shared" si="41"/>
        <v>0.218828696271145</v>
      </c>
      <c r="T43" s="40">
        <f t="shared" si="42"/>
        <v>0</v>
      </c>
      <c r="U43" s="40">
        <f t="shared" si="43"/>
        <v>0.00320948754531013</v>
      </c>
      <c r="V43" s="40">
        <f t="shared" si="44"/>
        <v>0.0328243044406718</v>
      </c>
      <c r="W43" s="40">
        <f t="shared" si="45"/>
        <v>0</v>
      </c>
      <c r="X43" s="40">
        <f>数据表!G13+数据表!F32</f>
        <v>8</v>
      </c>
      <c r="Y43" s="40">
        <f t="shared" si="46"/>
        <v>0.291771595028194</v>
      </c>
      <c r="Z43" s="115">
        <v>8000</v>
      </c>
      <c r="AA43" s="115">
        <v>0</v>
      </c>
      <c r="AB43" s="40">
        <f t="shared" si="47"/>
        <v>291.771595028194</v>
      </c>
      <c r="AC43" s="103">
        <f t="shared" si="48"/>
        <v>0</v>
      </c>
    </row>
    <row r="44" ht="15.6" spans="1:29">
      <c r="A44" s="32"/>
      <c r="B44" s="32"/>
      <c r="C44" s="32"/>
      <c r="D44" s="32"/>
      <c r="E44" s="32"/>
      <c r="F44" s="32"/>
      <c r="G44" s="41" t="s">
        <v>242</v>
      </c>
      <c r="H44" s="43">
        <v>0.5</v>
      </c>
      <c r="I44" s="40">
        <f>VLOOKUP(G44,G2:W27,17,0)</f>
        <v>0.00812106809779925</v>
      </c>
      <c r="J44" s="40">
        <f>数据表!T14</f>
        <v>11235.96</v>
      </c>
      <c r="K44" s="40">
        <f t="shared" si="39"/>
        <v>91.2479963041485</v>
      </c>
      <c r="L44" s="40">
        <f>数据表!S14</f>
        <v>14000</v>
      </c>
      <c r="M44" s="65">
        <f t="shared" si="40"/>
        <v>113.69495336919</v>
      </c>
      <c r="N44" s="84">
        <v>17.61</v>
      </c>
      <c r="O44" s="85">
        <v>0</v>
      </c>
      <c r="P44" s="86">
        <v>0.25</v>
      </c>
      <c r="Q44" s="40">
        <v>1.39</v>
      </c>
      <c r="R44" s="40">
        <f>数据表!P14*H44</f>
        <v>0</v>
      </c>
      <c r="S44" s="40">
        <f t="shared" si="41"/>
        <v>0.0715060046011224</v>
      </c>
      <c r="T44" s="40">
        <f t="shared" si="42"/>
        <v>0</v>
      </c>
      <c r="U44" s="40">
        <f t="shared" si="43"/>
        <v>0.00101513351222491</v>
      </c>
      <c r="V44" s="40">
        <f t="shared" si="44"/>
        <v>0.011288284655941</v>
      </c>
      <c r="W44" s="40">
        <f t="shared" si="45"/>
        <v>0</v>
      </c>
      <c r="X44" s="40">
        <f>数据表!G14+数据表!F32</f>
        <v>0.5</v>
      </c>
      <c r="Y44" s="40">
        <f t="shared" si="46"/>
        <v>0.00406053404889963</v>
      </c>
      <c r="Z44" s="115">
        <v>5000</v>
      </c>
      <c r="AA44" s="115">
        <v>5</v>
      </c>
      <c r="AB44" s="40">
        <f t="shared" si="47"/>
        <v>40.6053404889963</v>
      </c>
      <c r="AC44" s="103">
        <f t="shared" si="48"/>
        <v>0.0406053404889963</v>
      </c>
    </row>
    <row r="45" ht="15.6" spans="1:29">
      <c r="A45" s="32"/>
      <c r="B45" s="32"/>
      <c r="C45" s="32"/>
      <c r="D45" s="32"/>
      <c r="E45" s="32"/>
      <c r="F45" s="32"/>
      <c r="G45" s="41" t="s">
        <v>243</v>
      </c>
      <c r="H45" s="43">
        <v>2.5</v>
      </c>
      <c r="I45" s="40">
        <f>VLOOKUP(G45,G2:W27,17,0)</f>
        <v>0.0809653468890023</v>
      </c>
      <c r="J45" s="40">
        <f>数据表!T15</f>
        <v>3422</v>
      </c>
      <c r="K45" s="40">
        <f t="shared" si="39"/>
        <v>277.063417054166</v>
      </c>
      <c r="L45" s="40">
        <f>数据表!S15</f>
        <v>9000</v>
      </c>
      <c r="M45" s="65">
        <f t="shared" si="40"/>
        <v>728.688122001021</v>
      </c>
      <c r="N45" s="84">
        <v>0</v>
      </c>
      <c r="O45" s="85">
        <v>0.61</v>
      </c>
      <c r="P45" s="86">
        <v>0.014</v>
      </c>
      <c r="Q45" s="40">
        <v>0.39</v>
      </c>
      <c r="R45" s="40">
        <f>数据表!P15*H45</f>
        <v>0</v>
      </c>
      <c r="S45" s="40">
        <f t="shared" si="41"/>
        <v>0</v>
      </c>
      <c r="T45" s="40">
        <f t="shared" si="42"/>
        <v>0.123472154005728</v>
      </c>
      <c r="U45" s="40">
        <f t="shared" si="43"/>
        <v>0.00283378714111508</v>
      </c>
      <c r="V45" s="40">
        <f t="shared" si="44"/>
        <v>0.0315764852867109</v>
      </c>
      <c r="W45" s="40">
        <f t="shared" si="45"/>
        <v>0</v>
      </c>
      <c r="X45" s="40">
        <f>数据表!G15+数据表!F32</f>
        <v>2.5</v>
      </c>
      <c r="Y45" s="40">
        <f t="shared" si="46"/>
        <v>0.202413367222506</v>
      </c>
      <c r="Z45" s="115">
        <v>3000</v>
      </c>
      <c r="AA45" s="115">
        <v>0</v>
      </c>
      <c r="AB45" s="40">
        <f t="shared" si="47"/>
        <v>242.896040667007</v>
      </c>
      <c r="AC45" s="103">
        <f t="shared" si="48"/>
        <v>0</v>
      </c>
    </row>
    <row r="46" ht="15.6" spans="1:29">
      <c r="A46" s="32"/>
      <c r="B46" s="32"/>
      <c r="C46" s="32"/>
      <c r="D46" s="32"/>
      <c r="E46" s="32"/>
      <c r="F46" s="32"/>
      <c r="G46" s="41" t="s">
        <v>244</v>
      </c>
      <c r="H46" s="43">
        <v>5</v>
      </c>
      <c r="I46" s="40">
        <f>VLOOKUP(G46,G2:W27,17,0)</f>
        <v>0.0839445421197225</v>
      </c>
      <c r="J46" s="40">
        <f>数据表!T16</f>
        <v>5239.2</v>
      </c>
      <c r="K46" s="40">
        <f t="shared" si="39"/>
        <v>439.80224507365</v>
      </c>
      <c r="L46" s="40">
        <f>数据表!S16</f>
        <v>9000</v>
      </c>
      <c r="M46" s="65">
        <f t="shared" si="40"/>
        <v>755.500879077502</v>
      </c>
      <c r="N46" s="84">
        <v>0</v>
      </c>
      <c r="O46" s="85">
        <v>0.51</v>
      </c>
      <c r="P46" s="86">
        <v>0.01</v>
      </c>
      <c r="Q46" s="40">
        <v>0.55</v>
      </c>
      <c r="R46" s="40">
        <f>数据表!P16*H46</f>
        <v>0</v>
      </c>
      <c r="S46" s="40">
        <f t="shared" si="41"/>
        <v>0</v>
      </c>
      <c r="T46" s="40">
        <f t="shared" si="42"/>
        <v>0.214058582405292</v>
      </c>
      <c r="U46" s="40">
        <f t="shared" si="43"/>
        <v>0.00419722710598612</v>
      </c>
      <c r="V46" s="40">
        <f t="shared" si="44"/>
        <v>0.0461694981658474</v>
      </c>
      <c r="W46" s="40">
        <f t="shared" si="45"/>
        <v>0</v>
      </c>
      <c r="X46" s="40">
        <f>数据表!G16+数据表!F32</f>
        <v>5</v>
      </c>
      <c r="Y46" s="40">
        <f t="shared" si="46"/>
        <v>0.419722710598612</v>
      </c>
      <c r="Z46" s="115">
        <v>5000</v>
      </c>
      <c r="AA46" s="115">
        <v>0</v>
      </c>
      <c r="AB46" s="40">
        <f t="shared" si="47"/>
        <v>419.722710598612</v>
      </c>
      <c r="AC46" s="103">
        <f t="shared" si="48"/>
        <v>0</v>
      </c>
    </row>
    <row r="47" ht="15.6" spans="1:29">
      <c r="A47" s="32"/>
      <c r="B47" s="32"/>
      <c r="C47" s="32"/>
      <c r="D47" s="32"/>
      <c r="E47" s="32"/>
      <c r="F47" s="32"/>
      <c r="G47" s="41" t="s">
        <v>245</v>
      </c>
      <c r="H47" s="43">
        <v>8</v>
      </c>
      <c r="I47" s="40">
        <f>VLOOKUP(G47,G2:W27,17,0)</f>
        <v>0.0257767632933512</v>
      </c>
      <c r="J47" s="40">
        <f>数据表!T17</f>
        <v>8835.84</v>
      </c>
      <c r="K47" s="40">
        <f t="shared" si="39"/>
        <v>227.759356177925</v>
      </c>
      <c r="L47" s="40">
        <f>数据表!S17</f>
        <v>12000</v>
      </c>
      <c r="M47" s="65">
        <f t="shared" si="40"/>
        <v>309.321159520215</v>
      </c>
      <c r="N47" s="84">
        <v>0</v>
      </c>
      <c r="O47" s="85">
        <v>0.51</v>
      </c>
      <c r="P47" s="86">
        <v>0.011</v>
      </c>
      <c r="Q47" s="40">
        <v>1.05</v>
      </c>
      <c r="R47" s="40">
        <f>数据表!P17*H47</f>
        <v>0</v>
      </c>
      <c r="S47" s="40">
        <f t="shared" si="41"/>
        <v>0</v>
      </c>
      <c r="T47" s="40">
        <f t="shared" si="42"/>
        <v>0.105169194236873</v>
      </c>
      <c r="U47" s="40">
        <f t="shared" si="43"/>
        <v>0.00226835516981491</v>
      </c>
      <c r="V47" s="40">
        <f t="shared" si="44"/>
        <v>0.0270656014580188</v>
      </c>
      <c r="W47" s="40">
        <f t="shared" si="45"/>
        <v>0</v>
      </c>
      <c r="X47" s="40">
        <f>数据表!G17+数据表!F32</f>
        <v>8</v>
      </c>
      <c r="Y47" s="40">
        <f t="shared" si="46"/>
        <v>0.20621410634681</v>
      </c>
      <c r="Z47" s="115">
        <v>8000</v>
      </c>
      <c r="AA47" s="115">
        <v>0</v>
      </c>
      <c r="AB47" s="40">
        <f t="shared" si="47"/>
        <v>206.21410634681</v>
      </c>
      <c r="AC47" s="103">
        <f t="shared" si="48"/>
        <v>0</v>
      </c>
    </row>
    <row r="48" ht="15.6" spans="1:29">
      <c r="A48" s="32"/>
      <c r="B48" s="32"/>
      <c r="C48" s="32"/>
      <c r="D48" s="32"/>
      <c r="E48" s="32"/>
      <c r="F48" s="32"/>
      <c r="G48" s="41" t="s">
        <v>247</v>
      </c>
      <c r="H48" s="43">
        <v>0.5</v>
      </c>
      <c r="I48" s="40">
        <f>VLOOKUP(G48,G2:W27,17,0)</f>
        <v>0.00544071766916363</v>
      </c>
      <c r="J48" s="40">
        <f>数据表!T18</f>
        <v>12635.44</v>
      </c>
      <c r="K48" s="40">
        <f t="shared" si="39"/>
        <v>68.745861665657</v>
      </c>
      <c r="L48" s="40">
        <f>数据表!S18</f>
        <v>14000</v>
      </c>
      <c r="M48" s="65">
        <f t="shared" si="40"/>
        <v>76.1700473682909</v>
      </c>
      <c r="N48" s="84">
        <v>0</v>
      </c>
      <c r="O48" s="85">
        <v>11.77</v>
      </c>
      <c r="P48" s="86">
        <v>0.25</v>
      </c>
      <c r="Q48" s="40">
        <v>1.38</v>
      </c>
      <c r="R48" s="40">
        <f>数据表!P18*H48</f>
        <v>0</v>
      </c>
      <c r="S48" s="40">
        <f t="shared" si="41"/>
        <v>0</v>
      </c>
      <c r="T48" s="40">
        <f t="shared" si="42"/>
        <v>0.032018623483028</v>
      </c>
      <c r="U48" s="40">
        <f t="shared" si="43"/>
        <v>0.000680089708645454</v>
      </c>
      <c r="V48" s="40">
        <f t="shared" si="44"/>
        <v>0.00750819038344581</v>
      </c>
      <c r="W48" s="40">
        <f t="shared" si="45"/>
        <v>0</v>
      </c>
      <c r="X48" s="40">
        <f>数据表!G18+数据表!F32</f>
        <v>0.5</v>
      </c>
      <c r="Y48" s="40">
        <f t="shared" si="46"/>
        <v>0.00272035883458182</v>
      </c>
      <c r="Z48" s="115">
        <v>5000</v>
      </c>
      <c r="AA48" s="115">
        <v>5</v>
      </c>
      <c r="AB48" s="40">
        <f t="shared" si="47"/>
        <v>27.2035883458182</v>
      </c>
      <c r="AC48" s="103">
        <f t="shared" si="48"/>
        <v>0.0272035883458182</v>
      </c>
    </row>
    <row r="49" ht="15.6" spans="1:29">
      <c r="A49" s="32"/>
      <c r="B49" s="32"/>
      <c r="C49" s="32"/>
      <c r="D49" s="32"/>
      <c r="E49" s="32"/>
      <c r="F49" s="32"/>
      <c r="G49" s="41" t="s">
        <v>248</v>
      </c>
      <c r="H49" s="43">
        <v>1.5</v>
      </c>
      <c r="I49" s="40">
        <f>VLOOKUP(G49,G2:W27,17,0)</f>
        <v>0.00646289957799212</v>
      </c>
      <c r="J49" s="40">
        <f>数据表!T19</f>
        <v>1982.4</v>
      </c>
      <c r="K49" s="40">
        <f t="shared" si="39"/>
        <v>12.8120521234116</v>
      </c>
      <c r="L49" s="40">
        <f>数据表!S19</f>
        <v>9000</v>
      </c>
      <c r="M49" s="65">
        <f t="shared" si="40"/>
        <v>58.1660962019291</v>
      </c>
      <c r="N49" s="84">
        <v>0.58</v>
      </c>
      <c r="O49" s="85">
        <v>0.15</v>
      </c>
      <c r="P49" s="86">
        <v>0.016</v>
      </c>
      <c r="Q49" s="40">
        <v>0.27</v>
      </c>
      <c r="R49" s="40">
        <f>数据表!P19*H49</f>
        <v>0</v>
      </c>
      <c r="S49" s="40">
        <f t="shared" si="41"/>
        <v>0.00562272263285315</v>
      </c>
      <c r="T49" s="40">
        <f t="shared" si="42"/>
        <v>0.00145415240504823</v>
      </c>
      <c r="U49" s="40">
        <f t="shared" si="43"/>
        <v>0.000155109589871811</v>
      </c>
      <c r="V49" s="40">
        <f t="shared" si="44"/>
        <v>0.00174498288605787</v>
      </c>
      <c r="W49" s="40">
        <f t="shared" si="45"/>
        <v>0</v>
      </c>
      <c r="X49" s="40">
        <f>数据表!G19+数据表!F32</f>
        <v>1.5</v>
      </c>
      <c r="Y49" s="40">
        <f t="shared" si="46"/>
        <v>0.00969434936698818</v>
      </c>
      <c r="Z49" s="115">
        <v>1500</v>
      </c>
      <c r="AA49" s="115">
        <v>0</v>
      </c>
      <c r="AB49" s="40">
        <f t="shared" si="47"/>
        <v>9.69434936698818</v>
      </c>
      <c r="AC49" s="103">
        <f t="shared" si="48"/>
        <v>0</v>
      </c>
    </row>
    <row r="50" ht="16.35" spans="1:29">
      <c r="A50" s="32"/>
      <c r="B50" s="32"/>
      <c r="C50" s="32"/>
      <c r="D50" s="32"/>
      <c r="E50" s="32"/>
      <c r="F50" s="32"/>
      <c r="G50" s="63" t="s">
        <v>249</v>
      </c>
      <c r="H50" s="43">
        <v>2.5</v>
      </c>
      <c r="I50" s="40">
        <f>VLOOKUP(G50,G2:W27,17,0)</f>
        <v>0.00977265532032954</v>
      </c>
      <c r="J50" s="40">
        <f>数据表!T20</f>
        <v>2749.4</v>
      </c>
      <c r="K50" s="40">
        <f t="shared" si="39"/>
        <v>26.868938537714</v>
      </c>
      <c r="L50" s="40">
        <f>数据表!S20</f>
        <v>9000</v>
      </c>
      <c r="M50" s="65">
        <f t="shared" si="40"/>
        <v>87.9538978829659</v>
      </c>
      <c r="N50" s="84">
        <v>0.45</v>
      </c>
      <c r="O50" s="85">
        <v>0.1</v>
      </c>
      <c r="P50" s="86">
        <v>0.014</v>
      </c>
      <c r="Q50" s="40">
        <v>0.39</v>
      </c>
      <c r="R50" s="40">
        <f>数据表!P20*H50</f>
        <v>0</v>
      </c>
      <c r="S50" s="40">
        <f t="shared" si="41"/>
        <v>0.0109942372353707</v>
      </c>
      <c r="T50" s="40">
        <f t="shared" si="42"/>
        <v>0.00244316383008239</v>
      </c>
      <c r="U50" s="40">
        <f t="shared" si="43"/>
        <v>0.000342042936211534</v>
      </c>
      <c r="V50" s="40">
        <f t="shared" si="44"/>
        <v>0.00381133557492852</v>
      </c>
      <c r="W50" s="40">
        <f t="shared" si="45"/>
        <v>0</v>
      </c>
      <c r="X50" s="40">
        <f>数据表!G20+数据表!F32</f>
        <v>2.5</v>
      </c>
      <c r="Y50" s="40">
        <f t="shared" si="46"/>
        <v>0.0244316383008239</v>
      </c>
      <c r="Z50" s="115">
        <v>3000</v>
      </c>
      <c r="AA50" s="115">
        <v>0</v>
      </c>
      <c r="AB50" s="40">
        <f t="shared" si="47"/>
        <v>29.3179659609886</v>
      </c>
      <c r="AC50" s="103">
        <f t="shared" si="48"/>
        <v>0</v>
      </c>
    </row>
    <row r="51" ht="15.6" spans="1:29">
      <c r="A51" s="33"/>
      <c r="B51" s="34" t="s">
        <v>311</v>
      </c>
      <c r="C51" s="34" t="s">
        <v>336</v>
      </c>
      <c r="D51" s="34" t="s">
        <v>89</v>
      </c>
      <c r="E51" s="34" t="s">
        <v>93</v>
      </c>
      <c r="F51" s="64" t="s">
        <v>97</v>
      </c>
      <c r="G51" s="41" t="s">
        <v>250</v>
      </c>
      <c r="H51" s="43">
        <v>4</v>
      </c>
      <c r="I51" s="40">
        <f>VLOOKUP(G51,G2:W27,17,0)</f>
        <v>0.174731572339351</v>
      </c>
      <c r="J51" s="40">
        <f>数据表!T21</f>
        <v>7400.96</v>
      </c>
      <c r="K51" s="40">
        <f t="shared" si="39"/>
        <v>1293.18137762065</v>
      </c>
      <c r="L51" s="40">
        <f>数据表!S21</f>
        <v>9000</v>
      </c>
      <c r="M51" s="65">
        <f t="shared" si="40"/>
        <v>1572.58415105416</v>
      </c>
      <c r="N51" s="84">
        <v>0.52</v>
      </c>
      <c r="O51" s="85">
        <v>0.14</v>
      </c>
      <c r="P51" s="86">
        <v>0.026</v>
      </c>
      <c r="Q51" s="40">
        <v>1.15</v>
      </c>
      <c r="R51" s="40">
        <f>数据表!P21*H51</f>
        <v>0</v>
      </c>
      <c r="S51" s="40">
        <f t="shared" si="41"/>
        <v>0.363441670465851</v>
      </c>
      <c r="T51" s="40">
        <f t="shared" si="42"/>
        <v>0.0978496805100368</v>
      </c>
      <c r="U51" s="40">
        <f t="shared" si="43"/>
        <v>0.0181720835232925</v>
      </c>
      <c r="V51" s="40">
        <f t="shared" si="44"/>
        <v>0.200941308190254</v>
      </c>
      <c r="W51" s="40">
        <f t="shared" si="45"/>
        <v>0</v>
      </c>
      <c r="X51" s="40">
        <f>数据表!G21+数据表!F32</f>
        <v>4</v>
      </c>
      <c r="Y51" s="40">
        <f t="shared" si="46"/>
        <v>0.698926289357406</v>
      </c>
      <c r="Z51" s="115">
        <v>6000</v>
      </c>
      <c r="AA51" s="115">
        <v>0</v>
      </c>
      <c r="AB51" s="40">
        <f t="shared" si="47"/>
        <v>1048.38943403611</v>
      </c>
      <c r="AC51" s="103">
        <f t="shared" si="48"/>
        <v>0</v>
      </c>
    </row>
    <row r="52" ht="15.6" spans="1:29">
      <c r="A52" s="41" t="s">
        <v>230</v>
      </c>
      <c r="B52" s="40">
        <f>SUM(Y33:Y36)</f>
        <v>0.00223374476036569</v>
      </c>
      <c r="C52" s="40">
        <f>SUM(AC33:AC36)</f>
        <v>0.00683911894952654</v>
      </c>
      <c r="D52" s="40">
        <v>0</v>
      </c>
      <c r="E52" s="40">
        <f>SUM(T33:T36)</f>
        <v>0.00153304898800468</v>
      </c>
      <c r="F52" s="65">
        <f>SUM(S33:S36)</f>
        <v>0.0060260172680108</v>
      </c>
      <c r="G52" s="41" t="s">
        <v>252</v>
      </c>
      <c r="H52" s="43">
        <v>2</v>
      </c>
      <c r="I52" s="40">
        <f>VLOOKUP(G52,G2:W27,17,0)</f>
        <v>0.0020548475319206</v>
      </c>
      <c r="J52" s="40">
        <f>数据表!T22</f>
        <v>2039.04</v>
      </c>
      <c r="K52" s="40">
        <f t="shared" si="39"/>
        <v>4.18991631148737</v>
      </c>
      <c r="L52" s="40">
        <f>数据表!S22</f>
        <v>9000</v>
      </c>
      <c r="M52" s="65">
        <f t="shared" si="40"/>
        <v>18.4936277872854</v>
      </c>
      <c r="N52" s="84">
        <v>0</v>
      </c>
      <c r="O52" s="85">
        <v>0</v>
      </c>
      <c r="P52" s="86">
        <v>0.018</v>
      </c>
      <c r="Q52" s="111">
        <v>0.4</v>
      </c>
      <c r="R52" s="40">
        <f>数据表!P22*H52</f>
        <v>0</v>
      </c>
      <c r="S52" s="40">
        <f t="shared" si="41"/>
        <v>0</v>
      </c>
      <c r="T52" s="40">
        <f t="shared" si="42"/>
        <v>0</v>
      </c>
      <c r="U52" s="40">
        <f t="shared" si="43"/>
        <v>7.39745111491415e-5</v>
      </c>
      <c r="V52" s="40">
        <f t="shared" si="44"/>
        <v>0.000821939012768239</v>
      </c>
      <c r="W52" s="40">
        <f t="shared" si="45"/>
        <v>0</v>
      </c>
      <c r="X52" s="40">
        <f>数据表!G22+数据表!F32</f>
        <v>2</v>
      </c>
      <c r="Y52" s="40">
        <f t="shared" si="46"/>
        <v>0.00410969506384119</v>
      </c>
      <c r="Z52" s="115">
        <v>0</v>
      </c>
      <c r="AA52" s="115">
        <v>0</v>
      </c>
      <c r="AB52" s="40">
        <f t="shared" si="47"/>
        <v>0</v>
      </c>
      <c r="AC52" s="103">
        <f t="shared" si="48"/>
        <v>0</v>
      </c>
    </row>
    <row r="53" ht="15.6" spans="1:29">
      <c r="A53" s="41" t="s">
        <v>236</v>
      </c>
      <c r="B53" s="40">
        <f>SUM(Y37:Y40)</f>
        <v>0.668189362311419</v>
      </c>
      <c r="C53" s="40">
        <v>0</v>
      </c>
      <c r="D53" s="40">
        <f>SUM(U37:U40)</f>
        <v>0.0522707049146513</v>
      </c>
      <c r="E53" s="40">
        <v>0</v>
      </c>
      <c r="F53" s="65">
        <v>0</v>
      </c>
      <c r="G53" s="41" t="s">
        <v>253</v>
      </c>
      <c r="H53" s="43">
        <v>2</v>
      </c>
      <c r="I53" s="40">
        <f>VLOOKUP(G53,G2:W27,17,0)</f>
        <v>0.00156704473844448</v>
      </c>
      <c r="J53" s="40">
        <f>数据表!T23</f>
        <v>2378.88</v>
      </c>
      <c r="K53" s="40">
        <f t="shared" si="39"/>
        <v>3.72781138739081</v>
      </c>
      <c r="L53" s="40">
        <f>数据表!S23</f>
        <v>9000</v>
      </c>
      <c r="M53" s="65">
        <f t="shared" si="40"/>
        <v>14.1034026460003</v>
      </c>
      <c r="N53" s="84">
        <v>0</v>
      </c>
      <c r="O53" s="85">
        <v>0</v>
      </c>
      <c r="P53" s="86">
        <v>0.021</v>
      </c>
      <c r="Q53" s="40">
        <v>0.46</v>
      </c>
      <c r="R53" s="40">
        <f>数据表!P23*H53</f>
        <v>0</v>
      </c>
      <c r="S53" s="40">
        <f t="shared" si="41"/>
        <v>0</v>
      </c>
      <c r="T53" s="40">
        <f t="shared" si="42"/>
        <v>0</v>
      </c>
      <c r="U53" s="40">
        <f t="shared" si="43"/>
        <v>6.58158790146682e-5</v>
      </c>
      <c r="V53" s="40">
        <f t="shared" si="44"/>
        <v>0.000720840579684461</v>
      </c>
      <c r="W53" s="40">
        <f t="shared" si="45"/>
        <v>0</v>
      </c>
      <c r="X53" s="40">
        <f>数据表!G23+数据表!F32</f>
        <v>2</v>
      </c>
      <c r="Y53" s="40">
        <f t="shared" si="46"/>
        <v>0.00313408947688896</v>
      </c>
      <c r="Z53" s="115">
        <v>0</v>
      </c>
      <c r="AA53" s="115">
        <v>0</v>
      </c>
      <c r="AB53" s="40">
        <f t="shared" si="47"/>
        <v>0</v>
      </c>
      <c r="AC53" s="103">
        <f t="shared" si="48"/>
        <v>0</v>
      </c>
    </row>
    <row r="54" ht="15.6" spans="1:29">
      <c r="A54" s="66" t="s">
        <v>241</v>
      </c>
      <c r="B54" s="67">
        <f>SUM(Y41:Y44)</f>
        <v>0.913424247963274</v>
      </c>
      <c r="C54" s="67">
        <f>SUM(AC44)</f>
        <v>0.0406053404889963</v>
      </c>
      <c r="D54" s="67">
        <f>SUM(U41:U44)</f>
        <v>0.0106771726884956</v>
      </c>
      <c r="E54" s="67">
        <v>0</v>
      </c>
      <c r="F54" s="68">
        <f>SUM(S41:S44)</f>
        <v>0.765285583826102</v>
      </c>
      <c r="G54" s="41" t="s">
        <v>254</v>
      </c>
      <c r="H54" s="43">
        <v>4</v>
      </c>
      <c r="I54" s="40">
        <f>VLOOKUP(G54,G2:W27,17,0)</f>
        <v>0.0316520569324094</v>
      </c>
      <c r="J54" s="40">
        <f>数据表!T24</f>
        <v>6173.76</v>
      </c>
      <c r="K54" s="40">
        <f t="shared" si="39"/>
        <v>195.412203007032</v>
      </c>
      <c r="L54" s="40">
        <f>数据表!S24</f>
        <v>9000</v>
      </c>
      <c r="M54" s="65">
        <f t="shared" si="40"/>
        <v>284.868512391685</v>
      </c>
      <c r="N54" s="84">
        <v>0.33</v>
      </c>
      <c r="O54" s="85">
        <v>0.09</v>
      </c>
      <c r="P54" s="86">
        <v>0.023</v>
      </c>
      <c r="Q54" s="40">
        <v>1</v>
      </c>
      <c r="R54" s="40">
        <f>数据表!P24*H54</f>
        <v>0</v>
      </c>
      <c r="S54" s="40">
        <f t="shared" si="41"/>
        <v>0.0417807151507805</v>
      </c>
      <c r="T54" s="40">
        <f t="shared" si="42"/>
        <v>0.0113947404956674</v>
      </c>
      <c r="U54" s="40">
        <f t="shared" si="43"/>
        <v>0.00291198923778167</v>
      </c>
      <c r="V54" s="40">
        <f t="shared" si="44"/>
        <v>0.0316520569324094</v>
      </c>
      <c r="W54" s="40">
        <f t="shared" si="45"/>
        <v>0</v>
      </c>
      <c r="X54" s="40">
        <f>数据表!G24+数据表!F32</f>
        <v>4</v>
      </c>
      <c r="Y54" s="40">
        <f t="shared" si="46"/>
        <v>0.126608227729638</v>
      </c>
      <c r="Z54" s="115">
        <v>0</v>
      </c>
      <c r="AA54" s="115">
        <v>0</v>
      </c>
      <c r="AB54" s="40">
        <f t="shared" si="47"/>
        <v>0</v>
      </c>
      <c r="AC54" s="103">
        <f t="shared" si="48"/>
        <v>0</v>
      </c>
    </row>
    <row r="55" ht="15.6" spans="1:29">
      <c r="A55" s="66" t="s">
        <v>246</v>
      </c>
      <c r="B55" s="67">
        <f>SUM(Y45:Y48)</f>
        <v>0.83107054300251</v>
      </c>
      <c r="C55" s="67">
        <f>SUM(AC48)</f>
        <v>0.0272035883458182</v>
      </c>
      <c r="D55" s="67">
        <f>SUM(U45:U48)</f>
        <v>0.00997945912556157</v>
      </c>
      <c r="E55" s="67">
        <f>SUM(T45:T48)</f>
        <v>0.474718554130922</v>
      </c>
      <c r="F55" s="68">
        <v>0</v>
      </c>
      <c r="G55" s="41" t="s">
        <v>256</v>
      </c>
      <c r="H55" s="43">
        <v>6</v>
      </c>
      <c r="I55" s="40">
        <f>VLOOKUP(G55,G2:W27,17,0)</f>
        <v>0.0891602874729665</v>
      </c>
      <c r="J55" s="40">
        <f>数据表!T25</f>
        <v>4078.08</v>
      </c>
      <c r="K55" s="40">
        <f t="shared" si="39"/>
        <v>363.602785137755</v>
      </c>
      <c r="L55" s="40">
        <f>数据表!S25</f>
        <v>9000</v>
      </c>
      <c r="M55" s="65">
        <f t="shared" si="40"/>
        <v>802.442587256698</v>
      </c>
      <c r="N55" s="84">
        <v>0</v>
      </c>
      <c r="O55" s="85">
        <v>0</v>
      </c>
      <c r="P55" s="86">
        <v>0.012</v>
      </c>
      <c r="Q55" s="40">
        <v>0.81</v>
      </c>
      <c r="R55" s="40">
        <f>数据表!P25*H55</f>
        <v>0</v>
      </c>
      <c r="S55" s="40">
        <f t="shared" si="41"/>
        <v>0</v>
      </c>
      <c r="T55" s="40">
        <f t="shared" si="42"/>
        <v>0</v>
      </c>
      <c r="U55" s="40">
        <f t="shared" si="43"/>
        <v>0.00641954069805359</v>
      </c>
      <c r="V55" s="40">
        <f t="shared" si="44"/>
        <v>0.0722198328531028</v>
      </c>
      <c r="W55" s="40">
        <f t="shared" si="45"/>
        <v>0</v>
      </c>
      <c r="X55" s="40">
        <f>数据表!G25+数据表!F32</f>
        <v>6</v>
      </c>
      <c r="Y55" s="40">
        <f t="shared" si="46"/>
        <v>0.534961724837799</v>
      </c>
      <c r="Z55" s="115">
        <v>0</v>
      </c>
      <c r="AA55" s="115">
        <v>0</v>
      </c>
      <c r="AB55" s="40">
        <f t="shared" si="47"/>
        <v>0</v>
      </c>
      <c r="AC55" s="103">
        <f t="shared" si="48"/>
        <v>0</v>
      </c>
    </row>
    <row r="56" ht="15.6" spans="1:29">
      <c r="A56" s="66" t="s">
        <v>251</v>
      </c>
      <c r="B56" s="67">
        <f>SUM(Y49:Y51)</f>
        <v>0.733052277025218</v>
      </c>
      <c r="C56" s="67">
        <v>0</v>
      </c>
      <c r="D56" s="67">
        <f>SUM(U49:U51)</f>
        <v>0.0186692360493759</v>
      </c>
      <c r="E56" s="67">
        <f>SUM(T49:T51)</f>
        <v>0.101746996745167</v>
      </c>
      <c r="F56" s="68">
        <f>SUM(S49:S51)</f>
        <v>0.380058630334075</v>
      </c>
      <c r="G56" s="41" t="s">
        <v>257</v>
      </c>
      <c r="H56" s="43">
        <v>8</v>
      </c>
      <c r="I56" s="40">
        <f>VLOOKUP(G56,G2:W27,17,0)</f>
        <v>0.0152288455953258</v>
      </c>
      <c r="J56" s="40">
        <f>数据表!T26</f>
        <v>5324.16</v>
      </c>
      <c r="K56" s="40">
        <f t="shared" si="39"/>
        <v>81.0808105648098</v>
      </c>
      <c r="L56" s="40">
        <f>数据表!S26</f>
        <v>12000</v>
      </c>
      <c r="M56" s="65">
        <f t="shared" si="40"/>
        <v>182.74614714391</v>
      </c>
      <c r="N56" s="84">
        <v>0.07</v>
      </c>
      <c r="O56" s="85">
        <v>0.01</v>
      </c>
      <c r="P56" s="86">
        <v>0.011</v>
      </c>
      <c r="Q56" s="40">
        <v>0.98</v>
      </c>
      <c r="R56" s="40">
        <f>数据表!P26*H56</f>
        <v>0</v>
      </c>
      <c r="S56" s="40">
        <f t="shared" si="41"/>
        <v>0.00852815353338245</v>
      </c>
      <c r="T56" s="40">
        <f t="shared" si="42"/>
        <v>0.00121830764762606</v>
      </c>
      <c r="U56" s="40">
        <f t="shared" si="43"/>
        <v>0.00134013841238867</v>
      </c>
      <c r="V56" s="40">
        <f t="shared" si="44"/>
        <v>0.0149242686834193</v>
      </c>
      <c r="W56" s="40">
        <f t="shared" si="45"/>
        <v>0</v>
      </c>
      <c r="X56" s="40">
        <f>数据表!G26+数据表!F32</f>
        <v>8</v>
      </c>
      <c r="Y56" s="40">
        <f t="shared" si="46"/>
        <v>0.121830764762606</v>
      </c>
      <c r="Z56" s="115">
        <v>0</v>
      </c>
      <c r="AA56" s="115">
        <v>0</v>
      </c>
      <c r="AB56" s="40">
        <f t="shared" si="47"/>
        <v>0</v>
      </c>
      <c r="AC56" s="103">
        <f t="shared" si="48"/>
        <v>0</v>
      </c>
    </row>
    <row r="57" ht="16.35" spans="1:29">
      <c r="A57" s="69" t="s">
        <v>337</v>
      </c>
      <c r="B57" s="70">
        <f>SUM(Y52:Y58)</f>
        <v>0.798172644225772</v>
      </c>
      <c r="C57" s="70">
        <v>0</v>
      </c>
      <c r="D57" s="70">
        <f>SUM(U52:U59)</f>
        <v>0.0108843271524827</v>
      </c>
      <c r="E57" s="70">
        <f>SUM(T52:T58)</f>
        <v>0.0127124596613934</v>
      </c>
      <c r="F57" s="71">
        <f>SUM(S52:S58)</f>
        <v>0.0506568089975128</v>
      </c>
      <c r="G57" s="72" t="s">
        <v>259</v>
      </c>
      <c r="H57" s="73">
        <v>12</v>
      </c>
      <c r="I57" s="87">
        <f>VLOOKUP(G57,G2:W27,17,0)</f>
        <v>0.000414214658749819</v>
      </c>
      <c r="J57" s="87">
        <f>数据表!T27</f>
        <v>6740.16</v>
      </c>
      <c r="K57" s="87">
        <f t="shared" si="39"/>
        <v>2.79187307431918</v>
      </c>
      <c r="L57" s="87">
        <f>数据表!S27</f>
        <v>18000</v>
      </c>
      <c r="M57" s="88">
        <f t="shared" si="40"/>
        <v>7.45586385749674</v>
      </c>
      <c r="N57" s="84">
        <v>0.07</v>
      </c>
      <c r="O57" s="85">
        <v>0.02</v>
      </c>
      <c r="P57" s="86">
        <v>0.009</v>
      </c>
      <c r="Q57" s="40">
        <v>1.14</v>
      </c>
      <c r="R57" s="40">
        <f>数据表!P27*H57</f>
        <v>0</v>
      </c>
      <c r="S57" s="40">
        <f t="shared" si="41"/>
        <v>0.000347940313349848</v>
      </c>
      <c r="T57" s="40">
        <f t="shared" si="42"/>
        <v>9.94115180999566e-5</v>
      </c>
      <c r="U57" s="40">
        <f t="shared" si="43"/>
        <v>4.47351831449804e-5</v>
      </c>
      <c r="V57" s="40">
        <f t="shared" si="44"/>
        <v>0.000472204710974794</v>
      </c>
      <c r="W57" s="40">
        <f t="shared" si="45"/>
        <v>0</v>
      </c>
      <c r="X57" s="40">
        <f>数据表!G27+数据表!F32</f>
        <v>12</v>
      </c>
      <c r="Y57" s="40">
        <f t="shared" si="46"/>
        <v>0.00497057590499783</v>
      </c>
      <c r="Z57" s="115">
        <v>0</v>
      </c>
      <c r="AA57" s="115">
        <v>0</v>
      </c>
      <c r="AB57" s="40">
        <f t="shared" si="47"/>
        <v>0</v>
      </c>
      <c r="AC57" s="103">
        <f t="shared" si="48"/>
        <v>0</v>
      </c>
    </row>
    <row r="58" ht="16.35" spans="1:29">
      <c r="A58" s="32"/>
      <c r="B58" s="32"/>
      <c r="C58" s="32"/>
      <c r="D58" s="32"/>
      <c r="E58" s="32"/>
      <c r="F58" s="32"/>
      <c r="G58" s="74" t="s">
        <v>261</v>
      </c>
      <c r="H58" s="75">
        <v>3</v>
      </c>
      <c r="I58" s="89">
        <f>VLOOKUP(G58,G2:W27,17,0)</f>
        <v>0.000852522150000317</v>
      </c>
      <c r="J58" s="89">
        <f>数据表!T28</f>
        <v>1869.12</v>
      </c>
      <c r="K58" s="89">
        <f t="shared" si="39"/>
        <v>1.59346620100859</v>
      </c>
      <c r="L58" s="89">
        <f>数据表!R28</f>
        <v>4500</v>
      </c>
      <c r="M58" s="90">
        <f t="shared" si="40"/>
        <v>3.83634967500143</v>
      </c>
      <c r="N58" s="91">
        <v>0</v>
      </c>
      <c r="O58" s="92">
        <v>0</v>
      </c>
      <c r="P58" s="93">
        <v>0.011</v>
      </c>
      <c r="Q58" s="53">
        <v>0.35</v>
      </c>
      <c r="R58" s="53">
        <f>数据表!P28*H58</f>
        <v>0</v>
      </c>
      <c r="S58" s="53">
        <f t="shared" si="41"/>
        <v>0</v>
      </c>
      <c r="T58" s="53">
        <f t="shared" si="42"/>
        <v>0</v>
      </c>
      <c r="U58" s="53">
        <f t="shared" si="43"/>
        <v>2.81332309500105e-5</v>
      </c>
      <c r="V58" s="53">
        <f t="shared" si="44"/>
        <v>0.000298382752500111</v>
      </c>
      <c r="W58" s="53">
        <f t="shared" si="45"/>
        <v>0</v>
      </c>
      <c r="X58" s="53">
        <f>数据表!G28+数据表!F32</f>
        <v>3</v>
      </c>
      <c r="Y58" s="53">
        <f t="shared" si="46"/>
        <v>0.00255756645000095</v>
      </c>
      <c r="Z58" s="116">
        <v>0</v>
      </c>
      <c r="AA58" s="116">
        <v>0</v>
      </c>
      <c r="AB58" s="53">
        <f t="shared" si="47"/>
        <v>0</v>
      </c>
      <c r="AC58" s="104">
        <f t="shared" si="48"/>
        <v>0</v>
      </c>
    </row>
    <row r="59" ht="15.6" spans="1:30">
      <c r="A59" s="32"/>
      <c r="B59" s="32"/>
      <c r="C59" s="32"/>
      <c r="D59" s="32"/>
      <c r="E59" s="32"/>
      <c r="F59" s="32"/>
      <c r="G59" s="54" t="s">
        <v>338</v>
      </c>
      <c r="H59" s="32" t="s">
        <v>339</v>
      </c>
      <c r="I59" s="32">
        <f t="shared" ref="I59:M59" si="49">SUM(I33:I58)</f>
        <v>0.999997502163932</v>
      </c>
      <c r="J59" s="32" t="s">
        <v>340</v>
      </c>
      <c r="K59" s="32">
        <f t="shared" si="49"/>
        <v>6929.50617534031</v>
      </c>
      <c r="L59" s="32" t="s">
        <v>341</v>
      </c>
      <c r="M59" s="32">
        <f t="shared" si="49"/>
        <v>9306.86125679949</v>
      </c>
      <c r="N59" s="94" t="s">
        <v>342</v>
      </c>
      <c r="O59" s="95"/>
      <c r="P59" s="96"/>
      <c r="R59" s="97"/>
      <c r="S59" s="62" t="s">
        <v>73</v>
      </c>
      <c r="T59" s="62" t="s">
        <v>78</v>
      </c>
      <c r="U59" s="62" t="s">
        <v>89</v>
      </c>
      <c r="V59" s="40" t="s">
        <v>335</v>
      </c>
      <c r="W59" s="40" t="s">
        <v>120</v>
      </c>
      <c r="X59" s="105">
        <f>SUM(Y33:Y58)</f>
        <v>3.94614281928856</v>
      </c>
      <c r="Y59" s="106"/>
      <c r="AA59" s="106"/>
      <c r="AB59" s="106"/>
      <c r="AC59" s="107"/>
      <c r="AD59" s="32"/>
    </row>
    <row r="60" ht="15.15" spans="1:30">
      <c r="A60" s="32"/>
      <c r="B60" s="32"/>
      <c r="C60" s="32"/>
      <c r="D60" s="32"/>
      <c r="E60" s="32"/>
      <c r="F60" s="32"/>
      <c r="G60" s="56"/>
      <c r="H60" s="57"/>
      <c r="I60" s="57"/>
      <c r="J60" s="57" t="s">
        <v>343</v>
      </c>
      <c r="K60" s="57">
        <f>K59/M59*100</f>
        <v>74.4558878029657</v>
      </c>
      <c r="L60" s="57"/>
      <c r="M60" s="57"/>
      <c r="N60" s="97" t="s">
        <v>344</v>
      </c>
      <c r="O60" s="76">
        <f>R29+1</f>
        <v>2</v>
      </c>
      <c r="P60" s="98" t="s">
        <v>345</v>
      </c>
      <c r="R60" s="54" t="s">
        <v>346</v>
      </c>
      <c r="S60" s="32">
        <f>SUM(S33:S58)*R29</f>
        <v>1.2020270404257</v>
      </c>
      <c r="T60" s="32">
        <f>SUM(T33:T58)*R29</f>
        <v>0.590711059525487</v>
      </c>
      <c r="U60" s="32">
        <f>SUM(U33:U58)*R29</f>
        <v>0.102480899930567</v>
      </c>
      <c r="V60" s="32">
        <f>SUM(V33:V58)*R29</f>
        <v>0.975072229551251</v>
      </c>
      <c r="W60" s="32">
        <f>SUM(W33:W58)*R29</f>
        <v>0.0881761511094216</v>
      </c>
      <c r="X60" s="56"/>
      <c r="Y60" s="57"/>
      <c r="AA60" s="57" t="s">
        <v>347</v>
      </c>
      <c r="AB60" s="57">
        <f>SUM(AB33:AB58)*R29</f>
        <v>3198.08392608615</v>
      </c>
      <c r="AC60" s="112">
        <f>SUM(AC33:AC58)*R29</f>
        <v>0.074648047784341</v>
      </c>
      <c r="AD60" s="32"/>
    </row>
    <row r="61" spans="1:30">
      <c r="A61" s="32"/>
      <c r="B61" s="32"/>
      <c r="C61" s="32"/>
      <c r="D61" s="32"/>
      <c r="E61" s="32"/>
      <c r="F61" s="32"/>
      <c r="G61" s="32"/>
      <c r="H61" s="32"/>
      <c r="I61" s="32"/>
      <c r="J61" s="32"/>
      <c r="K61" s="32"/>
      <c r="L61" s="32"/>
      <c r="M61" s="32"/>
      <c r="N61" s="97" t="s">
        <v>354</v>
      </c>
      <c r="O61" s="76">
        <f>1-T28</f>
        <v>0.214425882586245</v>
      </c>
      <c r="P61" s="98"/>
      <c r="R61" s="54" t="s">
        <v>349</v>
      </c>
      <c r="S61" s="32"/>
      <c r="T61" s="32"/>
      <c r="U61" s="32"/>
      <c r="V61" s="32"/>
      <c r="W61" s="55"/>
      <c r="X61" s="32"/>
      <c r="Y61" s="32"/>
      <c r="Z61" s="32"/>
      <c r="AA61" s="32"/>
      <c r="AB61" s="32"/>
      <c r="AC61" s="32"/>
      <c r="AD61" s="32"/>
    </row>
    <row r="62" spans="1:30">
      <c r="A62" s="32"/>
      <c r="B62" s="32"/>
      <c r="C62" s="32"/>
      <c r="D62" s="32"/>
      <c r="E62" s="32"/>
      <c r="F62" s="32"/>
      <c r="G62" s="76"/>
      <c r="H62" s="76"/>
      <c r="I62" s="76"/>
      <c r="J62" s="76"/>
      <c r="K62" s="76"/>
      <c r="L62" s="76"/>
      <c r="M62" s="32"/>
      <c r="N62" s="97" t="s">
        <v>313</v>
      </c>
      <c r="O62" s="76">
        <f>V28</f>
        <v>0.402694395184916</v>
      </c>
      <c r="P62" s="98"/>
      <c r="R62" s="54" t="s">
        <v>351</v>
      </c>
      <c r="S62" s="32">
        <f>M59/X59</f>
        <v>2358.47045659574</v>
      </c>
      <c r="T62" s="32"/>
      <c r="U62" s="32"/>
      <c r="V62" s="32"/>
      <c r="W62" s="55"/>
      <c r="X62" s="32"/>
      <c r="Y62" s="32"/>
      <c r="Z62" s="32"/>
      <c r="AA62" s="32"/>
      <c r="AB62" s="32"/>
      <c r="AC62" s="32"/>
      <c r="AD62" s="32"/>
    </row>
    <row r="63" ht="15.15" spans="1:30">
      <c r="A63" s="32"/>
      <c r="B63" s="32"/>
      <c r="C63" s="32"/>
      <c r="D63" s="32"/>
      <c r="E63" s="32"/>
      <c r="F63" s="32"/>
      <c r="G63" s="76"/>
      <c r="H63" s="76"/>
      <c r="I63" s="76"/>
      <c r="J63" s="76"/>
      <c r="K63" s="76"/>
      <c r="L63" s="76"/>
      <c r="M63" s="32"/>
      <c r="N63" s="99" t="s">
        <v>352</v>
      </c>
      <c r="O63" s="100"/>
      <c r="P63" s="101">
        <f>O62</f>
        <v>0.402694395184916</v>
      </c>
      <c r="R63" s="56" t="s">
        <v>353</v>
      </c>
      <c r="S63" s="57">
        <f>K59/X59</f>
        <v>1756.02011702902</v>
      </c>
      <c r="T63" s="57"/>
      <c r="U63" s="57"/>
      <c r="V63" s="57"/>
      <c r="W63" s="112"/>
      <c r="X63" s="32"/>
      <c r="Y63" s="32"/>
      <c r="Z63" s="32"/>
      <c r="AA63" s="32"/>
      <c r="AB63" s="32"/>
      <c r="AC63" s="32"/>
      <c r="AD63" s="32"/>
    </row>
    <row r="64" spans="1:30">
      <c r="A64" s="32"/>
      <c r="B64" s="32"/>
      <c r="C64" s="32"/>
      <c r="D64" s="32"/>
      <c r="E64" s="32"/>
      <c r="F64" s="32"/>
      <c r="M64" s="32"/>
      <c r="N64" s="32"/>
      <c r="O64" s="32"/>
      <c r="P64" s="32"/>
      <c r="Q64" s="32"/>
      <c r="R64" s="32"/>
      <c r="S64" s="32"/>
      <c r="T64" s="32"/>
      <c r="U64" s="32"/>
      <c r="V64" s="32"/>
      <c r="W64" s="32"/>
      <c r="X64" s="32"/>
      <c r="Y64" s="32"/>
      <c r="Z64" s="32"/>
      <c r="AA64" s="32"/>
      <c r="AB64" s="32"/>
      <c r="AC64" s="32"/>
      <c r="AD64" s="32"/>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A12" workbookViewId="0">
      <selection activeCell="C8" sqref="C8"/>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0.6666666666667"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102</v>
      </c>
      <c r="B1" s="2"/>
      <c r="D1" t="s">
        <v>355</v>
      </c>
      <c r="K1" t="s">
        <v>356</v>
      </c>
    </row>
    <row r="2" ht="16.35" spans="1:18">
      <c r="A2" s="3" t="s">
        <v>219</v>
      </c>
      <c r="B2" s="4" t="s">
        <v>220</v>
      </c>
      <c r="C2" t="s">
        <v>357</v>
      </c>
      <c r="D2" t="s">
        <v>358</v>
      </c>
      <c r="E2" t="s">
        <v>359</v>
      </c>
      <c r="F2" t="s">
        <v>360</v>
      </c>
      <c r="G2" t="s">
        <v>330</v>
      </c>
      <c r="H2" t="s">
        <v>334</v>
      </c>
      <c r="I2" t="s">
        <v>361</v>
      </c>
      <c r="J2" t="s">
        <v>362</v>
      </c>
      <c r="K2" t="s">
        <v>363</v>
      </c>
      <c r="L2" t="s">
        <v>364</v>
      </c>
      <c r="M2" t="s">
        <v>361</v>
      </c>
      <c r="N2" t="s">
        <v>362</v>
      </c>
      <c r="O2" t="s">
        <v>365</v>
      </c>
      <c r="P2" t="s">
        <v>366</v>
      </c>
      <c r="Q2" t="s">
        <v>157</v>
      </c>
      <c r="R2" t="s">
        <v>367</v>
      </c>
    </row>
    <row r="3" ht="15.6" spans="1:19">
      <c r="A3" s="5" t="s">
        <v>230</v>
      </c>
      <c r="B3" s="6">
        <v>1</v>
      </c>
      <c r="C3">
        <f ca="1">数据表!K39</f>
        <v>13.9691666666961</v>
      </c>
      <c r="D3">
        <f ca="1">IF(C3&gt;B3,1,0)</f>
        <v>1</v>
      </c>
      <c r="E3">
        <f ca="1">IF((C3-B3)*D3&gt;F3,1,0)</f>
        <v>1</v>
      </c>
      <c r="F3">
        <f>G60</f>
        <v>2.5</v>
      </c>
      <c r="G3">
        <f>数据表!T3*100</f>
        <v>199184</v>
      </c>
      <c r="H3">
        <f ca="1">数据表!R3+C3*1500-B3*1500</f>
        <v>23953.7500000442</v>
      </c>
      <c r="I3">
        <f ca="1">G3/H3</f>
        <v>8.31535772059208</v>
      </c>
      <c r="J3">
        <f>'倾向-优先级表'!E6</f>
        <v>158.97</v>
      </c>
      <c r="K3">
        <f ca="1">(I3-J3)*H3</f>
        <v>-3608743.63750702</v>
      </c>
      <c r="L3">
        <f ca="1">H3+8000</f>
        <v>31953.7500000442</v>
      </c>
      <c r="M3">
        <f ca="1">G3/L3</f>
        <v>6.23350936900128</v>
      </c>
      <c r="N3">
        <f ca="1">G34</f>
        <v>108.396178800419</v>
      </c>
      <c r="O3">
        <f ca="1">(M3-N3)*L3</f>
        <v>-3264480.39834868</v>
      </c>
      <c r="P3">
        <f ca="1">IF(E3=1,数据表!U3,IF(D3=1,K3,O3))</f>
        <v>-516181</v>
      </c>
      <c r="Q3">
        <f ca="1">COUNTIF(P4:P29,"&gt;"&amp;P3)+1</f>
        <v>17</v>
      </c>
      <c r="R3" t="s">
        <v>212</v>
      </c>
      <c r="S3">
        <f ca="1">P3</f>
        <v>-516181</v>
      </c>
    </row>
    <row r="4" ht="15.6" spans="1:19">
      <c r="A4" s="7" t="s">
        <v>230</v>
      </c>
      <c r="B4" s="8">
        <v>2</v>
      </c>
      <c r="C4">
        <f ca="1">数据表!K39</f>
        <v>13.9691666666961</v>
      </c>
      <c r="D4">
        <f ca="1" t="shared" ref="D4:D29" si="0">IF(C4&gt;B4,1,0)</f>
        <v>1</v>
      </c>
      <c r="E4">
        <f ca="1" t="shared" ref="E4:E29" si="1">IF((C4-B4)*D4&gt;F4,1,0)</f>
        <v>1</v>
      </c>
      <c r="F4">
        <f>G60</f>
        <v>2.5</v>
      </c>
      <c r="G4">
        <f>数据表!T4*100</f>
        <v>286976</v>
      </c>
      <c r="H4">
        <f ca="1">数据表!R4+C4*1500-B4*1500</f>
        <v>26953.7500000442</v>
      </c>
      <c r="I4">
        <f ca="1" t="shared" ref="I4:I28" si="2">G4/H4</f>
        <v>10.6469786207682</v>
      </c>
      <c r="J4">
        <f>'倾向-优先级表'!E6</f>
        <v>158.97</v>
      </c>
      <c r="K4">
        <f ca="1">(I4-J4)*H4</f>
        <v>-3997861.63750702</v>
      </c>
      <c r="L4">
        <f ca="1" t="shared" ref="L4:L28" si="3">H4+8000</f>
        <v>34953.7500000442</v>
      </c>
      <c r="M4">
        <f ca="1" t="shared" ref="M4:M28" si="4">G4/L4</f>
        <v>8.21016343023673</v>
      </c>
      <c r="N4">
        <f ca="1">G34</f>
        <v>108.396178800419</v>
      </c>
      <c r="O4">
        <f ca="1" t="shared" ref="O4:O28" si="5">(M4-N4)*L4</f>
        <v>-3501876.93474993</v>
      </c>
      <c r="P4">
        <f ca="1">IF(E4=1,数据表!U4,IF(D4=1,K4,O4))</f>
        <v>-1143754</v>
      </c>
      <c r="Q4">
        <f ca="1">COUNTIF(P5:P29,"&gt;"&amp;P4)+1+COUNTIF(P3:P3,"&gt;="&amp;P4)</f>
        <v>24</v>
      </c>
      <c r="R4" t="s">
        <v>218</v>
      </c>
      <c r="S4">
        <f ca="1" t="shared" ref="S4:S29" si="6">P4</f>
        <v>-1143754</v>
      </c>
    </row>
    <row r="5" ht="15.6" spans="1:19">
      <c r="A5" s="9" t="s">
        <v>230</v>
      </c>
      <c r="B5" s="10">
        <v>4</v>
      </c>
      <c r="C5">
        <f ca="1">数据表!K39</f>
        <v>13.9691666666961</v>
      </c>
      <c r="D5">
        <f ca="1" t="shared" si="0"/>
        <v>1</v>
      </c>
      <c r="E5">
        <f ca="1" t="shared" si="1"/>
        <v>1</v>
      </c>
      <c r="F5">
        <f>G60</f>
        <v>2.5</v>
      </c>
      <c r="G5">
        <f>数据表!T5*100</f>
        <v>380432</v>
      </c>
      <c r="H5">
        <f ca="1">数据表!R5+C5*1500-B5*1500</f>
        <v>30953.7500000442</v>
      </c>
      <c r="I5">
        <f ca="1" t="shared" si="2"/>
        <v>12.2903363889499</v>
      </c>
      <c r="J5">
        <f>'倾向-优先级表'!E6</f>
        <v>158.97</v>
      </c>
      <c r="K5">
        <f ca="1" t="shared" ref="K4:K29" si="7">(I5-J5)*H5</f>
        <v>-4540285.63750702</v>
      </c>
      <c r="L5">
        <f ca="1" t="shared" si="3"/>
        <v>38953.7500000442</v>
      </c>
      <c r="M5">
        <f ca="1" t="shared" si="4"/>
        <v>9.76624843563376</v>
      </c>
      <c r="N5">
        <f ca="1">G34</f>
        <v>108.396178800419</v>
      </c>
      <c r="O5">
        <f ca="1" t="shared" si="5"/>
        <v>-3842005.64995161</v>
      </c>
      <c r="P5">
        <f ca="1">IF(E5=1,数据表!U5,IF(D5=1,K5,O5))</f>
        <v>-2163088</v>
      </c>
      <c r="Q5">
        <f ca="1">COUNTIF(P6:P29,"&gt;"&amp;P5)+COUNTIF(P3:P4,"&gt;="&amp;P5)+1</f>
        <v>26</v>
      </c>
      <c r="R5" t="s">
        <v>229</v>
      </c>
      <c r="S5">
        <f ca="1" t="shared" si="6"/>
        <v>-2163088</v>
      </c>
    </row>
    <row r="6" ht="16.35" spans="1:19">
      <c r="A6" s="11" t="s">
        <v>234</v>
      </c>
      <c r="B6" s="12">
        <v>0.5</v>
      </c>
      <c r="C6">
        <f ca="1">数据表!K39</f>
        <v>13.9691666666961</v>
      </c>
      <c r="D6">
        <f ca="1" t="shared" si="0"/>
        <v>1</v>
      </c>
      <c r="E6">
        <f ca="1" t="shared" si="1"/>
        <v>1</v>
      </c>
      <c r="F6">
        <f>G60</f>
        <v>2.5</v>
      </c>
      <c r="G6">
        <f>数据表!T6*100</f>
        <v>323792</v>
      </c>
      <c r="H6">
        <f ca="1">数据表!R6+C6*1500-B6*1500</f>
        <v>23953.7500000442</v>
      </c>
      <c r="I6">
        <f ca="1" t="shared" si="2"/>
        <v>13.5173824557492</v>
      </c>
      <c r="J6">
        <f>'倾向-优先级表'!E6</f>
        <v>158.97</v>
      </c>
      <c r="K6">
        <f ca="1" t="shared" si="7"/>
        <v>-3484135.63750702</v>
      </c>
      <c r="L6">
        <f ca="1" t="shared" si="3"/>
        <v>31953.7500000442</v>
      </c>
      <c r="M6">
        <f ca="1" t="shared" si="4"/>
        <v>10.133145561931</v>
      </c>
      <c r="N6">
        <f ca="1">G34</f>
        <v>108.396178800419</v>
      </c>
      <c r="O6">
        <f ca="1" t="shared" si="5"/>
        <v>-3139872.39834868</v>
      </c>
      <c r="P6">
        <f ca="1">IF(E6=1,数据表!U6,IF(D6=1,K6,O6))</f>
        <v>-272345.5</v>
      </c>
      <c r="Q6">
        <f ca="1">COUNTIF(P7:P29,"&gt;"&amp;P6)+COUNTIF(P3:P5,"&gt;="&amp;P6)+1</f>
        <v>12</v>
      </c>
      <c r="R6" t="s">
        <v>231</v>
      </c>
      <c r="S6">
        <f ca="1" t="shared" si="6"/>
        <v>-272345.5</v>
      </c>
    </row>
    <row r="7" ht="15.6" spans="1:19">
      <c r="A7" s="13" t="s">
        <v>236</v>
      </c>
      <c r="B7" s="14">
        <v>1</v>
      </c>
      <c r="C7">
        <f ca="1">数据表!K39</f>
        <v>13.9691666666961</v>
      </c>
      <c r="D7">
        <f ca="1" t="shared" si="0"/>
        <v>1</v>
      </c>
      <c r="E7">
        <f ca="1" t="shared" si="1"/>
        <v>1</v>
      </c>
      <c r="F7">
        <f>G60</f>
        <v>2.5</v>
      </c>
      <c r="G7">
        <f>数据表!T7*100</f>
        <v>294528</v>
      </c>
      <c r="H7">
        <f ca="1">数据表!R7+C7*1500-B7*1500</f>
        <v>20953.7500000442</v>
      </c>
      <c r="I7">
        <f ca="1" t="shared" si="2"/>
        <v>14.056099743453</v>
      </c>
      <c r="J7">
        <f>'倾向-优先级表'!E6</f>
        <v>158.97</v>
      </c>
      <c r="K7">
        <f ca="1" t="shared" si="7"/>
        <v>-3036489.63750702</v>
      </c>
      <c r="L7">
        <f ca="1" t="shared" si="3"/>
        <v>28953.7500000442</v>
      </c>
      <c r="M7">
        <f ca="1" t="shared" si="4"/>
        <v>10.1723610931071</v>
      </c>
      <c r="N7">
        <f ca="1">G34</f>
        <v>108.396178800419</v>
      </c>
      <c r="O7">
        <f ca="1" t="shared" si="5"/>
        <v>-2843947.86194742</v>
      </c>
      <c r="P7">
        <f ca="1">IF(E7=1,数据表!U7,IF(D7=1,K7,O7))</f>
        <v>56073</v>
      </c>
      <c r="Q7">
        <f ca="1">COUNTIF(P8:P29,"&gt;"&amp;P7)+COUNTIF(P3:P6,"&gt;="&amp;P7)+1</f>
        <v>5</v>
      </c>
      <c r="R7" t="s">
        <v>232</v>
      </c>
      <c r="S7">
        <f ca="1" t="shared" si="6"/>
        <v>56073</v>
      </c>
    </row>
    <row r="8" ht="15.6" spans="1:19">
      <c r="A8" s="15" t="s">
        <v>236</v>
      </c>
      <c r="B8" s="16">
        <v>2</v>
      </c>
      <c r="C8">
        <f ca="1">数据表!K39</f>
        <v>13.9691666666961</v>
      </c>
      <c r="D8">
        <f ca="1" t="shared" si="0"/>
        <v>1</v>
      </c>
      <c r="E8">
        <f ca="1" t="shared" si="1"/>
        <v>1</v>
      </c>
      <c r="F8">
        <f>G60</f>
        <v>2.5</v>
      </c>
      <c r="G8">
        <f>数据表!T8*100</f>
        <v>532416</v>
      </c>
      <c r="H8">
        <f ca="1">数据表!R8+C8*1500-B8*1500</f>
        <v>20953.7500000442</v>
      </c>
      <c r="I8">
        <f ca="1" t="shared" si="2"/>
        <v>25.4091033823959</v>
      </c>
      <c r="J8">
        <f>'倾向-优先级表'!E6</f>
        <v>158.97</v>
      </c>
      <c r="K8">
        <f ca="1" t="shared" si="7"/>
        <v>-2798601.63750702</v>
      </c>
      <c r="L8">
        <f ca="1" t="shared" si="3"/>
        <v>28953.7500000442</v>
      </c>
      <c r="M8">
        <f ca="1" t="shared" si="4"/>
        <v>18.3884988990783</v>
      </c>
      <c r="N8">
        <f ca="1">G34</f>
        <v>108.396178800419</v>
      </c>
      <c r="O8">
        <f ca="1" t="shared" si="5"/>
        <v>-2606059.86194742</v>
      </c>
      <c r="P8">
        <f ca="1">IF(E8=1,数据表!U8,IF(D8=1,K8,O8))</f>
        <v>55505.9999999999</v>
      </c>
      <c r="Q8">
        <f ca="1">COUNTIF(P9:P29,"&gt;"&amp;P8)+COUNTIF(P3:P7,"&gt;="&amp;P8)+1</f>
        <v>6</v>
      </c>
      <c r="R8" t="s">
        <v>233</v>
      </c>
      <c r="S8">
        <f ca="1" t="shared" si="6"/>
        <v>55505.9999999999</v>
      </c>
    </row>
    <row r="9" ht="15.6" spans="1:19">
      <c r="A9" s="7" t="s">
        <v>236</v>
      </c>
      <c r="B9" s="8">
        <v>4</v>
      </c>
      <c r="C9">
        <f ca="1">数据表!K39</f>
        <v>13.9691666666961</v>
      </c>
      <c r="D9">
        <f ca="1" t="shared" si="0"/>
        <v>1</v>
      </c>
      <c r="E9">
        <f ca="1" t="shared" si="1"/>
        <v>1</v>
      </c>
      <c r="F9">
        <f>G60</f>
        <v>2.5</v>
      </c>
      <c r="G9">
        <f>数据表!T9*100</f>
        <v>1155456</v>
      </c>
      <c r="H9">
        <f ca="1">数据表!R9+C9*1500-B9*1500</f>
        <v>20953.7500000442</v>
      </c>
      <c r="I9">
        <f ca="1" t="shared" si="2"/>
        <v>55.143160532008</v>
      </c>
      <c r="J9">
        <f>'倾向-优先级表'!E6</f>
        <v>158.97</v>
      </c>
      <c r="K9">
        <f ca="1" t="shared" si="7"/>
        <v>-2175561.63750702</v>
      </c>
      <c r="L9">
        <f ca="1" t="shared" si="3"/>
        <v>28953.7500000442</v>
      </c>
      <c r="M9">
        <f ca="1" t="shared" si="4"/>
        <v>39.9069550575741</v>
      </c>
      <c r="N9">
        <f ca="1">G34</f>
        <v>108.396178800419</v>
      </c>
      <c r="O9">
        <f ca="1" t="shared" si="5"/>
        <v>-1983019.86194742</v>
      </c>
      <c r="P9">
        <f ca="1">IF(E9=1,数据表!U9,IF(D9=1,K9,O9))</f>
        <v>201636</v>
      </c>
      <c r="Q9">
        <f ca="1">COUNTIF(P10:P29,"&gt;"&amp;P9)+COUNTIF(P3:P8,"&gt;="&amp;P9)+1</f>
        <v>4</v>
      </c>
      <c r="R9" t="s">
        <v>235</v>
      </c>
      <c r="S9">
        <f ca="1" t="shared" si="6"/>
        <v>201636</v>
      </c>
    </row>
    <row r="10" ht="16.35" spans="1:19">
      <c r="A10" s="17" t="s">
        <v>236</v>
      </c>
      <c r="B10" s="18">
        <v>0.5</v>
      </c>
      <c r="C10">
        <f ca="1">数据表!K39</f>
        <v>13.9691666666961</v>
      </c>
      <c r="D10">
        <f ca="1" t="shared" si="0"/>
        <v>1</v>
      </c>
      <c r="E10">
        <f ca="1" t="shared" si="1"/>
        <v>1</v>
      </c>
      <c r="F10">
        <f>G60</f>
        <v>2.5</v>
      </c>
      <c r="G10">
        <f>数据表!T10*100</f>
        <v>2310912</v>
      </c>
      <c r="H10">
        <f ca="1">数据表!R10+C10*1500-B10*1500</f>
        <v>20953.7500000442</v>
      </c>
      <c r="I10">
        <f ca="1" t="shared" si="2"/>
        <v>110.286321064016</v>
      </c>
      <c r="J10">
        <f>'倾向-优先级表'!E6</f>
        <v>158.97</v>
      </c>
      <c r="K10">
        <f ca="1" t="shared" si="7"/>
        <v>-1020105.63750702</v>
      </c>
      <c r="L10">
        <f ca="1" t="shared" si="3"/>
        <v>28953.7500000442</v>
      </c>
      <c r="M10">
        <f ca="1" t="shared" si="4"/>
        <v>79.8139101151482</v>
      </c>
      <c r="N10">
        <f ca="1">G34</f>
        <v>108.396178800419</v>
      </c>
      <c r="O10">
        <f ca="1" t="shared" si="5"/>
        <v>-827563.861947421</v>
      </c>
      <c r="P10">
        <f ca="1">IF(E10=1,数据表!U10,IF(D10=1,K10,O10))</f>
        <v>2191684.5</v>
      </c>
      <c r="Q10">
        <f ca="1">COUNTIF(P11:P29,"&gt;"&amp;P10)+COUNTIF(P3:P9,"&gt;="&amp;P10)+1</f>
        <v>1</v>
      </c>
      <c r="R10" t="s">
        <v>237</v>
      </c>
      <c r="S10">
        <f ca="1" t="shared" si="6"/>
        <v>2191684.5</v>
      </c>
    </row>
    <row r="11" ht="15.6" spans="1:19">
      <c r="A11" s="19" t="s">
        <v>241</v>
      </c>
      <c r="B11" s="6">
        <v>2.5</v>
      </c>
      <c r="C11">
        <f ca="1">数据表!K39</f>
        <v>13.9691666666961</v>
      </c>
      <c r="D11">
        <f ca="1" t="shared" si="0"/>
        <v>1</v>
      </c>
      <c r="E11">
        <f ca="1" t="shared" si="1"/>
        <v>1</v>
      </c>
      <c r="F11">
        <f>G60</f>
        <v>2.5</v>
      </c>
      <c r="G11">
        <f>数据表!T11*100</f>
        <v>306800</v>
      </c>
      <c r="H11">
        <f ca="1">数据表!R11+C11*1500-B11*1500</f>
        <v>20953.7500000442</v>
      </c>
      <c r="I11">
        <f ca="1" t="shared" si="2"/>
        <v>14.6417705660969</v>
      </c>
      <c r="J11">
        <f>'倾向-优先级表'!E6</f>
        <v>158.97</v>
      </c>
      <c r="K11">
        <f ca="1" t="shared" si="7"/>
        <v>-3024217.63750702</v>
      </c>
      <c r="L11">
        <f ca="1" t="shared" si="3"/>
        <v>28953.7500000442</v>
      </c>
      <c r="M11">
        <f ca="1" t="shared" si="4"/>
        <v>10.5962094719866</v>
      </c>
      <c r="N11">
        <f ca="1">G34</f>
        <v>108.396178800419</v>
      </c>
      <c r="O11">
        <f ca="1" t="shared" si="5"/>
        <v>-2831675.86194742</v>
      </c>
      <c r="P11">
        <f ca="1">IF(E11=1,数据表!U11,IF(D11=1,K11,O11))</f>
        <v>-289337.5</v>
      </c>
      <c r="Q11">
        <f ca="1">COUNTIF(P12:P29,"&gt;"&amp;P11)+COUNTIF(P3:P10,"&gt;="&amp;P11)+1</f>
        <v>14</v>
      </c>
      <c r="R11" t="s">
        <v>238</v>
      </c>
      <c r="S11">
        <f ca="1" t="shared" si="6"/>
        <v>-289337.5</v>
      </c>
    </row>
    <row r="12" ht="15.6" spans="1:19">
      <c r="A12" s="7" t="s">
        <v>241</v>
      </c>
      <c r="B12" s="8">
        <v>5</v>
      </c>
      <c r="C12">
        <f ca="1">数据表!K39</f>
        <v>13.9691666666961</v>
      </c>
      <c r="D12">
        <f ca="1" t="shared" si="0"/>
        <v>1</v>
      </c>
      <c r="E12">
        <f ca="1" t="shared" si="1"/>
        <v>1</v>
      </c>
      <c r="F12">
        <f>G60</f>
        <v>2.5</v>
      </c>
      <c r="G12">
        <f>数据表!T12*100</f>
        <v>460200</v>
      </c>
      <c r="H12">
        <f ca="1">数据表!R12+C12*1500-B12*1500</f>
        <v>20953.7500000442</v>
      </c>
      <c r="I12">
        <f ca="1" t="shared" si="2"/>
        <v>21.9626558491454</v>
      </c>
      <c r="J12">
        <f>'倾向-优先级表'!E6</f>
        <v>158.97</v>
      </c>
      <c r="K12">
        <f ca="1" t="shared" si="7"/>
        <v>-2870817.63750702</v>
      </c>
      <c r="L12">
        <f ca="1" t="shared" si="3"/>
        <v>28953.7500000442</v>
      </c>
      <c r="M12">
        <f ca="1" t="shared" si="4"/>
        <v>15.8943142079799</v>
      </c>
      <c r="N12">
        <f ca="1">G34</f>
        <v>108.396178800419</v>
      </c>
      <c r="O12">
        <f ca="1" t="shared" si="5"/>
        <v>-2678275.86194742</v>
      </c>
      <c r="P12">
        <f ca="1">IF(E12=1,数据表!U12,IF(D12=1,K12,O12))</f>
        <v>-732075</v>
      </c>
      <c r="Q12">
        <f ca="1">COUNTIF(P13:P29,"&gt;"&amp;P12)+COUNTIF(P3:P11,"&gt;="&amp;P12)+1</f>
        <v>20</v>
      </c>
      <c r="R12" t="s">
        <v>239</v>
      </c>
      <c r="S12">
        <f ca="1" t="shared" si="6"/>
        <v>-732075</v>
      </c>
    </row>
    <row r="13" ht="15.6" spans="1:19">
      <c r="A13" s="9" t="s">
        <v>241</v>
      </c>
      <c r="B13" s="10">
        <v>8</v>
      </c>
      <c r="C13">
        <f ca="1">数据表!K39</f>
        <v>13.9691666666961</v>
      </c>
      <c r="D13">
        <f ca="1" t="shared" si="0"/>
        <v>1</v>
      </c>
      <c r="E13">
        <f ca="1" t="shared" si="1"/>
        <v>1</v>
      </c>
      <c r="F13">
        <f>G60</f>
        <v>2.5</v>
      </c>
      <c r="G13">
        <f>数据表!T13*100</f>
        <v>781632</v>
      </c>
      <c r="H13">
        <f ca="1">数据表!R13+C13*1500-B13*1500</f>
        <v>20953.7500000442</v>
      </c>
      <c r="I13">
        <f ca="1" t="shared" si="2"/>
        <v>37.3027262422407</v>
      </c>
      <c r="J13">
        <f>'倾向-优先级表'!E6</f>
        <v>158.97</v>
      </c>
      <c r="K13">
        <f ca="1" t="shared" si="7"/>
        <v>-2549385.63750702</v>
      </c>
      <c r="L13">
        <f ca="1" t="shared" si="3"/>
        <v>28953.7500000442</v>
      </c>
      <c r="M13">
        <f ca="1" t="shared" si="4"/>
        <v>26.9958813624766</v>
      </c>
      <c r="N13">
        <f ca="1">G34</f>
        <v>108.396178800419</v>
      </c>
      <c r="O13">
        <f ca="1" t="shared" si="5"/>
        <v>-2356843.86194742</v>
      </c>
      <c r="P13">
        <f ca="1">IF(E13=1,数据表!U13,IF(D13=1,K13,O13))</f>
        <v>-1126008</v>
      </c>
      <c r="Q13">
        <f ca="1">COUNTIF(P14:P29,"&gt;"&amp;P13)+COUNTIF(P3:P12,"&gt;="&amp;P13)+1</f>
        <v>23</v>
      </c>
      <c r="R13" t="s">
        <v>240</v>
      </c>
      <c r="S13">
        <f ca="1" t="shared" si="6"/>
        <v>-1126008</v>
      </c>
    </row>
    <row r="14" ht="15.6" spans="1:19">
      <c r="A14" s="9" t="s">
        <v>241</v>
      </c>
      <c r="B14" s="10">
        <v>0.5</v>
      </c>
      <c r="C14">
        <f ca="1">数据表!K39</f>
        <v>13.9691666666961</v>
      </c>
      <c r="D14">
        <f ca="1" t="shared" si="0"/>
        <v>1</v>
      </c>
      <c r="E14">
        <f ca="1" t="shared" si="1"/>
        <v>1</v>
      </c>
      <c r="F14">
        <f>G60</f>
        <v>2.5</v>
      </c>
      <c r="G14">
        <f>数据表!T14*100</f>
        <v>1123596</v>
      </c>
      <c r="H14">
        <f ca="1">数据表!R14+C14*1500-B14*1500</f>
        <v>25953.7500000442</v>
      </c>
      <c r="I14">
        <f ca="1" t="shared" si="2"/>
        <v>43.2922410055613</v>
      </c>
      <c r="J14">
        <f>'倾向-优先级表'!E6</f>
        <v>158.97</v>
      </c>
      <c r="K14">
        <f ca="1" t="shared" si="7"/>
        <v>-3002271.63750702</v>
      </c>
      <c r="L14">
        <f ca="1" t="shared" si="3"/>
        <v>33953.7500000442</v>
      </c>
      <c r="M14">
        <f ca="1" t="shared" si="4"/>
        <v>33.0919559694743</v>
      </c>
      <c r="N14">
        <f ca="1">G34</f>
        <v>108.396178800419</v>
      </c>
      <c r="O14">
        <f ca="1" t="shared" si="5"/>
        <v>-2556860.75594952</v>
      </c>
      <c r="P14">
        <f ca="1">IF(E14=1,数据表!U14,IF(D14=1,K14,O14))</f>
        <v>209518.5</v>
      </c>
      <c r="Q14">
        <f ca="1">COUNTIF(P15:P29,"&gt;"&amp;P14)+COUNTIF(P3:P13,"&gt;="&amp;P14)+1</f>
        <v>3</v>
      </c>
      <c r="R14" t="s">
        <v>242</v>
      </c>
      <c r="S14">
        <f ca="1" t="shared" si="6"/>
        <v>209518.5</v>
      </c>
    </row>
    <row r="15" ht="15.6" spans="1:19">
      <c r="A15" s="15" t="s">
        <v>246</v>
      </c>
      <c r="B15" s="16">
        <v>2.5</v>
      </c>
      <c r="C15">
        <f ca="1">数据表!K39</f>
        <v>13.9691666666961</v>
      </c>
      <c r="D15">
        <f ca="1" t="shared" si="0"/>
        <v>1</v>
      </c>
      <c r="E15">
        <f ca="1" t="shared" si="1"/>
        <v>1</v>
      </c>
      <c r="F15">
        <f>G60</f>
        <v>2.5</v>
      </c>
      <c r="G15">
        <f>数据表!T15*100</f>
        <v>342200</v>
      </c>
      <c r="H15">
        <f ca="1">数据表!R15+C15*1500-B15*1500</f>
        <v>20953.7500000442</v>
      </c>
      <c r="I15">
        <f ca="1" t="shared" si="2"/>
        <v>16.3312056314158</v>
      </c>
      <c r="J15">
        <f>'倾向-优先级表'!E6</f>
        <v>158.97</v>
      </c>
      <c r="K15">
        <f ca="1" t="shared" si="7"/>
        <v>-2988817.63750702</v>
      </c>
      <c r="L15">
        <f ca="1" t="shared" si="3"/>
        <v>28953.7500000442</v>
      </c>
      <c r="M15">
        <f ca="1" t="shared" si="4"/>
        <v>11.8188490264466</v>
      </c>
      <c r="N15">
        <f ca="1">G34</f>
        <v>108.396178800419</v>
      </c>
      <c r="O15">
        <f ca="1" t="shared" si="5"/>
        <v>-2796275.86194742</v>
      </c>
      <c r="P15">
        <f ca="1">IF(E15=1,数据表!U15,IF(D15=1,K15,O15))</f>
        <v>-253937.5</v>
      </c>
      <c r="Q15">
        <f ca="1">COUNTIF(P16:P29,"&gt;"&amp;P15)+COUNTIF(P3:P14,"&gt;="&amp;P15)+1</f>
        <v>11</v>
      </c>
      <c r="R15" t="s">
        <v>243</v>
      </c>
      <c r="S15">
        <f ca="1" t="shared" si="6"/>
        <v>-253937.5</v>
      </c>
    </row>
    <row r="16" ht="15.6" spans="1:19">
      <c r="A16" s="7" t="s">
        <v>246</v>
      </c>
      <c r="B16" s="8">
        <v>5</v>
      </c>
      <c r="C16">
        <f ca="1">数据表!K39</f>
        <v>13.9691666666961</v>
      </c>
      <c r="D16">
        <f ca="1" t="shared" si="0"/>
        <v>1</v>
      </c>
      <c r="E16">
        <f ca="1" t="shared" si="1"/>
        <v>1</v>
      </c>
      <c r="F16">
        <f>G60</f>
        <v>2.5</v>
      </c>
      <c r="G16">
        <f>数据表!T16*100</f>
        <v>523920</v>
      </c>
      <c r="H16">
        <f ca="1">数据表!R16+C16*1500-B16*1500</f>
        <v>20953.7500000442</v>
      </c>
      <c r="I16">
        <f ca="1" t="shared" si="2"/>
        <v>25.0036389667193</v>
      </c>
      <c r="J16">
        <f>'倾向-优先级表'!E6</f>
        <v>158.97</v>
      </c>
      <c r="K16">
        <f ca="1" t="shared" si="7"/>
        <v>-2807097.63750702</v>
      </c>
      <c r="L16">
        <f ca="1" t="shared" si="3"/>
        <v>28953.7500000442</v>
      </c>
      <c r="M16">
        <f ca="1" t="shared" si="4"/>
        <v>18.0950654060079</v>
      </c>
      <c r="N16">
        <f ca="1">G34</f>
        <v>108.396178800419</v>
      </c>
      <c r="O16">
        <f ca="1" t="shared" si="5"/>
        <v>-2614555.86194742</v>
      </c>
      <c r="P16">
        <f ca="1">IF(E16=1,数据表!U16,IF(D16=1,K16,O16))</f>
        <v>-668355</v>
      </c>
      <c r="Q16">
        <f ca="1">COUNTIF(P17:P29,"&gt;"&amp;P16)+COUNTIF(P3:P15,"&gt;="&amp;P16)+1</f>
        <v>19</v>
      </c>
      <c r="R16" t="s">
        <v>244</v>
      </c>
      <c r="S16">
        <f ca="1" t="shared" si="6"/>
        <v>-668355</v>
      </c>
    </row>
    <row r="17" ht="15.6" spans="1:19">
      <c r="A17" s="9" t="s">
        <v>246</v>
      </c>
      <c r="B17" s="10">
        <v>8</v>
      </c>
      <c r="C17">
        <f ca="1">数据表!K39</f>
        <v>13.9691666666961</v>
      </c>
      <c r="D17">
        <f ca="1" t="shared" si="0"/>
        <v>1</v>
      </c>
      <c r="E17">
        <f ca="1" t="shared" si="1"/>
        <v>1</v>
      </c>
      <c r="F17">
        <f>G60</f>
        <v>2.5</v>
      </c>
      <c r="G17">
        <f>数据表!T17*100</f>
        <v>883584</v>
      </c>
      <c r="H17">
        <f ca="1">数据表!R17+C17*1500-B17*1500</f>
        <v>20953.7500000442</v>
      </c>
      <c r="I17">
        <f ca="1" t="shared" si="2"/>
        <v>42.1682992303591</v>
      </c>
      <c r="J17">
        <f>'倾向-优先级表'!E6</f>
        <v>158.97</v>
      </c>
      <c r="K17">
        <f ca="1" t="shared" si="7"/>
        <v>-2447433.63750702</v>
      </c>
      <c r="L17">
        <f ca="1" t="shared" si="3"/>
        <v>28953.7500000442</v>
      </c>
      <c r="M17">
        <f ca="1" t="shared" si="4"/>
        <v>30.5170832793214</v>
      </c>
      <c r="N17">
        <f ca="1">G34</f>
        <v>108.396178800419</v>
      </c>
      <c r="O17">
        <f ca="1" t="shared" si="5"/>
        <v>-2254891.86194742</v>
      </c>
      <c r="P17">
        <f ca="1">IF(E17=1,数据表!U17,IF(D17=1,K17,O17))</f>
        <v>-1024056</v>
      </c>
      <c r="Q17">
        <f ca="1">COUNTIF(P18:P29,"&gt;"&amp;P17)+COUNTIF(P3:P16,"&gt;="&amp;P17)+1</f>
        <v>22</v>
      </c>
      <c r="R17" t="s">
        <v>245</v>
      </c>
      <c r="S17">
        <f ca="1" t="shared" si="6"/>
        <v>-1024056</v>
      </c>
    </row>
    <row r="18" ht="16.35" spans="1:19">
      <c r="A18" s="20" t="s">
        <v>246</v>
      </c>
      <c r="B18" s="21">
        <v>0.5</v>
      </c>
      <c r="C18">
        <f ca="1">数据表!K39</f>
        <v>13.9691666666961</v>
      </c>
      <c r="D18">
        <f ca="1" t="shared" si="0"/>
        <v>1</v>
      </c>
      <c r="E18">
        <f ca="1" t="shared" si="1"/>
        <v>1</v>
      </c>
      <c r="F18">
        <f>G60</f>
        <v>2.5</v>
      </c>
      <c r="G18">
        <f>数据表!T18*100</f>
        <v>1263544</v>
      </c>
      <c r="H18">
        <f ca="1">数据表!R18+C18*1500-B18*1500</f>
        <v>25953.7500000442</v>
      </c>
      <c r="I18">
        <f ca="1" t="shared" si="2"/>
        <v>48.6844482973693</v>
      </c>
      <c r="J18">
        <f>'倾向-优先级表'!E6</f>
        <v>158.97</v>
      </c>
      <c r="K18">
        <f ca="1" t="shared" si="7"/>
        <v>-2862323.63750702</v>
      </c>
      <c r="L18">
        <f ca="1" t="shared" si="3"/>
        <v>33953.7500000442</v>
      </c>
      <c r="M18">
        <f ca="1" t="shared" si="4"/>
        <v>37.2136803739898</v>
      </c>
      <c r="N18">
        <f ca="1">G34</f>
        <v>108.396178800419</v>
      </c>
      <c r="O18">
        <f ca="1" t="shared" si="5"/>
        <v>-2416912.75594952</v>
      </c>
      <c r="P18">
        <f ca="1">IF(E18=1,数据表!U18,IF(D18=1,K18,O18))</f>
        <v>349466.5</v>
      </c>
      <c r="Q18">
        <f ca="1">COUNTIF(P19:P29,"&gt;"&amp;P18)+COUNTIF(P3:P17,"&gt;="&amp;P18)+1</f>
        <v>2</v>
      </c>
      <c r="R18" t="s">
        <v>247</v>
      </c>
      <c r="S18">
        <f ca="1" t="shared" si="6"/>
        <v>349466.5</v>
      </c>
    </row>
    <row r="19" ht="15.6" spans="1:19">
      <c r="A19" s="13" t="s">
        <v>251</v>
      </c>
      <c r="B19" s="14">
        <v>1.5</v>
      </c>
      <c r="C19">
        <f ca="1">数据表!K39</f>
        <v>13.9691666666961</v>
      </c>
      <c r="D19">
        <f ca="1" t="shared" si="0"/>
        <v>1</v>
      </c>
      <c r="E19">
        <f ca="1" t="shared" si="1"/>
        <v>1</v>
      </c>
      <c r="F19">
        <f>G60</f>
        <v>2.5</v>
      </c>
      <c r="G19">
        <f>数据表!T19*100</f>
        <v>198240</v>
      </c>
      <c r="H19">
        <f ca="1">数据表!R19+C19*1500-B19*1500</f>
        <v>20953.7500000442</v>
      </c>
      <c r="I19">
        <f ca="1" t="shared" si="2"/>
        <v>9.46083636578569</v>
      </c>
      <c r="J19">
        <f>'倾向-优先级表'!E6</f>
        <v>158.97</v>
      </c>
      <c r="K19">
        <f ca="1" t="shared" si="7"/>
        <v>-3132777.63750702</v>
      </c>
      <c r="L19">
        <f ca="1" t="shared" si="3"/>
        <v>28953.7500000442</v>
      </c>
      <c r="M19">
        <f ca="1" t="shared" si="4"/>
        <v>6.84678150497595</v>
      </c>
      <c r="N19">
        <f ca="1">G34</f>
        <v>108.396178800419</v>
      </c>
      <c r="O19">
        <f ca="1" t="shared" si="5"/>
        <v>-2940235.86194742</v>
      </c>
      <c r="P19">
        <f ca="1">IF(E19=1,数据表!U19,IF(D19=1,K19,O19))</f>
        <v>-159442.5</v>
      </c>
      <c r="Q19">
        <f ca="1">COUNTIF(P20:P29,"&gt;"&amp;P19)+COUNTIF(P3:P18,"&gt;="&amp;P19)+1</f>
        <v>7</v>
      </c>
      <c r="R19" t="s">
        <v>248</v>
      </c>
      <c r="S19">
        <f ca="1" t="shared" si="6"/>
        <v>-159442.5</v>
      </c>
    </row>
    <row r="20" ht="15.6" spans="1:19">
      <c r="A20" s="15" t="s">
        <v>251</v>
      </c>
      <c r="B20" s="16">
        <v>2.5</v>
      </c>
      <c r="C20">
        <f ca="1">数据表!K39</f>
        <v>13.9691666666961</v>
      </c>
      <c r="D20">
        <f ca="1" t="shared" si="0"/>
        <v>1</v>
      </c>
      <c r="E20">
        <f ca="1" t="shared" si="1"/>
        <v>1</v>
      </c>
      <c r="F20">
        <f>G60</f>
        <v>2.5</v>
      </c>
      <c r="G20">
        <f>数据表!T20*100</f>
        <v>274940</v>
      </c>
      <c r="H20">
        <f ca="1">数据表!R20+C20*1500-B20*1500</f>
        <v>20953.7500000442</v>
      </c>
      <c r="I20">
        <f ca="1" t="shared" si="2"/>
        <v>13.1212790073099</v>
      </c>
      <c r="J20">
        <f>'倾向-优先级表'!E6</f>
        <v>158.97</v>
      </c>
      <c r="K20">
        <f ca="1" t="shared" si="7"/>
        <v>-3056077.63750702</v>
      </c>
      <c r="L20">
        <f ca="1" t="shared" si="3"/>
        <v>28953.7500000442</v>
      </c>
      <c r="M20">
        <f ca="1" t="shared" si="4"/>
        <v>9.4958338729726</v>
      </c>
      <c r="N20">
        <f ca="1">G34</f>
        <v>108.396178800419</v>
      </c>
      <c r="O20">
        <f ca="1" t="shared" si="5"/>
        <v>-2863535.86194742</v>
      </c>
      <c r="P20">
        <f ca="1">IF(E20=1,数据表!U20,IF(D20=1,K20,O20))</f>
        <v>-321197.5</v>
      </c>
      <c r="Q20">
        <f ca="1">COUNTIF(P21:P29,"&gt;"&amp;P20)+COUNTIF(P3:P19,"&gt;="&amp;P20)+1</f>
        <v>15</v>
      </c>
      <c r="R20" s="30" t="s">
        <v>249</v>
      </c>
      <c r="S20">
        <f ca="1" t="shared" si="6"/>
        <v>-321197.5</v>
      </c>
    </row>
    <row r="21" ht="16.35" spans="1:19">
      <c r="A21" s="22" t="s">
        <v>251</v>
      </c>
      <c r="B21" s="23">
        <v>4</v>
      </c>
      <c r="C21">
        <f ca="1">数据表!K39</f>
        <v>13.9691666666961</v>
      </c>
      <c r="D21">
        <f ca="1" t="shared" si="0"/>
        <v>1</v>
      </c>
      <c r="E21">
        <f ca="1" t="shared" si="1"/>
        <v>1</v>
      </c>
      <c r="F21">
        <f>G60</f>
        <v>2.5</v>
      </c>
      <c r="G21">
        <f>数据表!T21*100</f>
        <v>740096</v>
      </c>
      <c r="H21">
        <f ca="1">数据表!R21+C21*1500-B21*1500</f>
        <v>20953.7500000442</v>
      </c>
      <c r="I21">
        <f ca="1" t="shared" si="2"/>
        <v>35.3204557655999</v>
      </c>
      <c r="J21">
        <f>'倾向-优先级表'!E6</f>
        <v>158.97</v>
      </c>
      <c r="K21">
        <f ca="1" t="shared" si="7"/>
        <v>-2590921.63750702</v>
      </c>
      <c r="L21">
        <f ca="1" t="shared" si="3"/>
        <v>28953.7500000442</v>
      </c>
      <c r="M21">
        <f ca="1" t="shared" si="4"/>
        <v>25.5613176185769</v>
      </c>
      <c r="N21">
        <f ca="1">G34</f>
        <v>108.396178800419</v>
      </c>
      <c r="O21">
        <f ca="1" t="shared" si="5"/>
        <v>-2398379.86194742</v>
      </c>
      <c r="P21">
        <f ca="1">IF(E21=1,数据表!U21,IF(D21=1,K21,O21))</f>
        <v>-213724</v>
      </c>
      <c r="Q21">
        <f ca="1">COUNTIF(P22:P29,"&gt;"&amp;P21)+COUNTIF(P3:P20,"&gt;="&amp;P21)+1</f>
        <v>8</v>
      </c>
      <c r="R21" t="s">
        <v>250</v>
      </c>
      <c r="S21">
        <f ca="1" t="shared" si="6"/>
        <v>-213724</v>
      </c>
    </row>
    <row r="22" ht="15.6" spans="1:19">
      <c r="A22" s="19" t="s">
        <v>255</v>
      </c>
      <c r="B22" s="6">
        <v>2</v>
      </c>
      <c r="C22">
        <f ca="1">数据表!K39</f>
        <v>13.9691666666961</v>
      </c>
      <c r="D22">
        <f ca="1" t="shared" si="0"/>
        <v>1</v>
      </c>
      <c r="E22">
        <f ca="1" t="shared" si="1"/>
        <v>1</v>
      </c>
      <c r="F22">
        <f>G60</f>
        <v>2.5</v>
      </c>
      <c r="G22">
        <f>数据表!T22*100</f>
        <v>203904</v>
      </c>
      <c r="H22">
        <f ca="1">数据表!R22+C22*1500-B22*1500</f>
        <v>20953.7500000442</v>
      </c>
      <c r="I22">
        <f ca="1" t="shared" si="2"/>
        <v>9.73114597623671</v>
      </c>
      <c r="J22">
        <f>'倾向-优先级表'!E6</f>
        <v>158.97</v>
      </c>
      <c r="K22">
        <f ca="1" t="shared" si="7"/>
        <v>-3127113.63750702</v>
      </c>
      <c r="L22">
        <f ca="1" t="shared" si="3"/>
        <v>28953.7500000442</v>
      </c>
      <c r="M22">
        <f ca="1" t="shared" si="4"/>
        <v>7.04240383368955</v>
      </c>
      <c r="N22">
        <f ca="1">G34</f>
        <v>108.396178800419</v>
      </c>
      <c r="O22">
        <f ca="1" t="shared" si="5"/>
        <v>-2934571.86194742</v>
      </c>
      <c r="P22">
        <f ca="1">IF(E22=1,数据表!U22,IF(D22=1,K22,O22))</f>
        <v>-273006</v>
      </c>
      <c r="Q22">
        <f ca="1">COUNTIF(P23:P29,"&gt;"&amp;P22)+COUNTIF(P3:P21,"&gt;="&amp;P22)+1</f>
        <v>13</v>
      </c>
      <c r="R22" t="s">
        <v>252</v>
      </c>
      <c r="S22">
        <f ca="1" t="shared" si="6"/>
        <v>-273006</v>
      </c>
    </row>
    <row r="23" ht="16.35" spans="1:19">
      <c r="A23" s="24" t="s">
        <v>255</v>
      </c>
      <c r="B23" s="25">
        <v>2</v>
      </c>
      <c r="C23">
        <f ca="1">数据表!K39</f>
        <v>13.9691666666961</v>
      </c>
      <c r="D23">
        <f ca="1" t="shared" si="0"/>
        <v>1</v>
      </c>
      <c r="E23">
        <f ca="1" t="shared" si="1"/>
        <v>1</v>
      </c>
      <c r="F23">
        <f>G60</f>
        <v>2.5</v>
      </c>
      <c r="G23">
        <f>数据表!T23*100</f>
        <v>237888</v>
      </c>
      <c r="H23">
        <f ca="1">数据表!R23+C23*1500-B23*1500</f>
        <v>20953.7500000442</v>
      </c>
      <c r="I23">
        <f ca="1" t="shared" si="2"/>
        <v>11.3530036389428</v>
      </c>
      <c r="J23">
        <f>'倾向-优先级表'!E6</f>
        <v>158.97</v>
      </c>
      <c r="K23">
        <f ca="1" t="shared" si="7"/>
        <v>-3093129.63750702</v>
      </c>
      <c r="L23">
        <f ca="1" t="shared" si="3"/>
        <v>28953.7500000442</v>
      </c>
      <c r="M23">
        <f ca="1" t="shared" si="4"/>
        <v>8.21613780597114</v>
      </c>
      <c r="N23">
        <f ca="1">G34</f>
        <v>108.396178800419</v>
      </c>
      <c r="O23">
        <f ca="1" t="shared" si="5"/>
        <v>-2900587.86194742</v>
      </c>
      <c r="P23">
        <f ca="1">IF(E23=1,数据表!U23,IF(D23=1,K23,O23))</f>
        <v>-239022</v>
      </c>
      <c r="Q23">
        <f ca="1">COUNTIF(P24:P29,"&gt;"&amp;P23)+COUNTIF(P3:P22,"&gt;="&amp;P23)+1</f>
        <v>10</v>
      </c>
      <c r="R23" t="s">
        <v>253</v>
      </c>
      <c r="S23">
        <f ca="1" t="shared" si="6"/>
        <v>-239022</v>
      </c>
    </row>
    <row r="24" ht="15.6" spans="1:19">
      <c r="A24" s="26" t="s">
        <v>258</v>
      </c>
      <c r="B24" s="27">
        <v>4</v>
      </c>
      <c r="C24">
        <f ca="1">数据表!K39</f>
        <v>13.9691666666961</v>
      </c>
      <c r="D24">
        <f ca="1" t="shared" si="0"/>
        <v>1</v>
      </c>
      <c r="E24">
        <f ca="1" t="shared" si="1"/>
        <v>1</v>
      </c>
      <c r="F24">
        <f>G60</f>
        <v>2.5</v>
      </c>
      <c r="G24">
        <f>数据表!T24*100</f>
        <v>617376</v>
      </c>
      <c r="H24">
        <f ca="1">数据表!R24+C24*1500-B24*1500</f>
        <v>20953.7500000442</v>
      </c>
      <c r="I24">
        <f ca="1" t="shared" si="2"/>
        <v>29.4637475391612</v>
      </c>
      <c r="J24">
        <f>'倾向-优先级表'!E6</f>
        <v>158.97</v>
      </c>
      <c r="K24">
        <f ca="1" t="shared" si="7"/>
        <v>-2713641.63750702</v>
      </c>
      <c r="L24">
        <f ca="1" t="shared" si="3"/>
        <v>28953.7500000442</v>
      </c>
      <c r="M24">
        <f ca="1" t="shared" si="4"/>
        <v>21.3228338297823</v>
      </c>
      <c r="N24">
        <f ca="1">G34</f>
        <v>108.396178800419</v>
      </c>
      <c r="O24">
        <f ca="1" t="shared" si="5"/>
        <v>-2521099.86194742</v>
      </c>
      <c r="P24">
        <f ca="1">IF(E24=1,数据表!U24,IF(D24=1,K24,O24))</f>
        <v>-336444</v>
      </c>
      <c r="Q24">
        <f ca="1">COUNTIF(P25:P29,"&gt;"&amp;P24)+COUNTIF(P3:P23,"&gt;="&amp;P24)+1</f>
        <v>16</v>
      </c>
      <c r="R24" t="s">
        <v>254</v>
      </c>
      <c r="S24">
        <f ca="1" t="shared" si="6"/>
        <v>-336444</v>
      </c>
    </row>
    <row r="25" ht="15.6" spans="1:19">
      <c r="A25" s="15" t="s">
        <v>260</v>
      </c>
      <c r="B25" s="16">
        <v>6</v>
      </c>
      <c r="C25">
        <f ca="1">数据表!K39</f>
        <v>13.9691666666961</v>
      </c>
      <c r="D25">
        <f ca="1" t="shared" si="0"/>
        <v>1</v>
      </c>
      <c r="E25">
        <f ca="1" t="shared" si="1"/>
        <v>1</v>
      </c>
      <c r="F25">
        <f>G60</f>
        <v>2.5</v>
      </c>
      <c r="G25">
        <f>数据表!T25*100</f>
        <v>407808</v>
      </c>
      <c r="H25">
        <f ca="1">数据表!R25+C25*1500-B25*1500</f>
        <v>20953.7500000442</v>
      </c>
      <c r="I25">
        <f ca="1" t="shared" si="2"/>
        <v>19.4622919524734</v>
      </c>
      <c r="J25">
        <f>'倾向-优先级表'!E6</f>
        <v>158.97</v>
      </c>
      <c r="K25">
        <f ca="1" t="shared" si="7"/>
        <v>-2923209.63750702</v>
      </c>
      <c r="L25">
        <f ca="1" t="shared" si="3"/>
        <v>28953.7500000442</v>
      </c>
      <c r="M25">
        <f ca="1" t="shared" si="4"/>
        <v>14.0848076673791</v>
      </c>
      <c r="N25">
        <f ca="1">G34</f>
        <v>108.396178800419</v>
      </c>
      <c r="O25">
        <f ca="1" t="shared" si="5"/>
        <v>-2730667.86194742</v>
      </c>
      <c r="P25">
        <f ca="1">IF(E25=1,数据表!U25,IF(D25=1,K25,O25))</f>
        <v>-1022922</v>
      </c>
      <c r="Q25">
        <f ca="1">COUNTIF(P26:P29,"&gt;"&amp;P25)+COUNTIF(P3:P24,"&gt;="&amp;P25)+1</f>
        <v>21</v>
      </c>
      <c r="R25" t="s">
        <v>256</v>
      </c>
      <c r="S25">
        <f ca="1" t="shared" si="6"/>
        <v>-1022922</v>
      </c>
    </row>
    <row r="26" ht="15.6" spans="1:19">
      <c r="A26" s="7" t="s">
        <v>260</v>
      </c>
      <c r="B26" s="8">
        <v>8</v>
      </c>
      <c r="C26">
        <f ca="1">数据表!K39</f>
        <v>13.9691666666961</v>
      </c>
      <c r="D26">
        <f ca="1" t="shared" si="0"/>
        <v>1</v>
      </c>
      <c r="E26">
        <f ca="1" t="shared" si="1"/>
        <v>1</v>
      </c>
      <c r="F26">
        <f>G60</f>
        <v>2.5</v>
      </c>
      <c r="G26">
        <f>数据表!T26*100</f>
        <v>532416</v>
      </c>
      <c r="H26">
        <f ca="1">数据表!R26+C26*1500-B26*1500</f>
        <v>20953.7500000442</v>
      </c>
      <c r="I26">
        <f ca="1" t="shared" si="2"/>
        <v>25.4091033823959</v>
      </c>
      <c r="J26">
        <f>'倾向-优先级表'!E6</f>
        <v>158.97</v>
      </c>
      <c r="K26">
        <f ca="1" t="shared" si="7"/>
        <v>-2798601.63750702</v>
      </c>
      <c r="L26">
        <f ca="1" t="shared" si="3"/>
        <v>28953.7500000442</v>
      </c>
      <c r="M26">
        <f ca="1" t="shared" si="4"/>
        <v>18.3884988990783</v>
      </c>
      <c r="N26">
        <f ca="1">G34</f>
        <v>108.396178800419</v>
      </c>
      <c r="O26">
        <f ca="1" t="shared" si="5"/>
        <v>-2606059.86194742</v>
      </c>
      <c r="P26">
        <f ca="1">IF(E26=1,数据表!U26,IF(D26=1,K26,O26))</f>
        <v>-1375224</v>
      </c>
      <c r="Q26">
        <f ca="1">COUNTIF(P27:P29,"&gt;"&amp;P26)+COUNTIF(P3:P25,"&gt;="&amp;P26)+1</f>
        <v>25</v>
      </c>
      <c r="R26" t="s">
        <v>257</v>
      </c>
      <c r="S26">
        <f ca="1" t="shared" si="6"/>
        <v>-1375224</v>
      </c>
    </row>
    <row r="27" ht="16.35" spans="1:19">
      <c r="A27" s="17" t="s">
        <v>260</v>
      </c>
      <c r="B27" s="18">
        <v>12</v>
      </c>
      <c r="C27">
        <f ca="1">数据表!K39</f>
        <v>13.9691666666961</v>
      </c>
      <c r="D27">
        <f ca="1" t="shared" si="0"/>
        <v>1</v>
      </c>
      <c r="E27">
        <f ca="1" t="shared" si="1"/>
        <v>0</v>
      </c>
      <c r="F27">
        <f>G60</f>
        <v>2.5</v>
      </c>
      <c r="G27">
        <f>数据表!T27*100</f>
        <v>674016</v>
      </c>
      <c r="H27">
        <f ca="1">数据表!R27+C27*1500-B27*1500</f>
        <v>20953.7500000442</v>
      </c>
      <c r="I27">
        <f ca="1" t="shared" si="2"/>
        <v>32.1668436436714</v>
      </c>
      <c r="J27">
        <f>'倾向-优先级表'!E6</f>
        <v>158.97</v>
      </c>
      <c r="K27">
        <f ca="1" t="shared" si="7"/>
        <v>-2657001.63750702</v>
      </c>
      <c r="L27">
        <f ca="1" t="shared" si="3"/>
        <v>28953.7500000442</v>
      </c>
      <c r="M27">
        <f ca="1" t="shared" si="4"/>
        <v>23.2790571169182</v>
      </c>
      <c r="N27">
        <f ca="1">G34</f>
        <v>108.396178800419</v>
      </c>
      <c r="O27">
        <f ca="1" t="shared" si="5"/>
        <v>-2464459.86194742</v>
      </c>
      <c r="P27">
        <f ca="1">IF(E27=1,数据表!U27,IF(D27=1,K27,O27))</f>
        <v>-2657001.63750702</v>
      </c>
      <c r="Q27">
        <f ca="1">COUNTIF(P28:P29,"&gt;"&amp;P27)+COUNTIF(P3:P26,"&gt;="&amp;P27)+1</f>
        <v>27</v>
      </c>
      <c r="R27" t="s">
        <v>259</v>
      </c>
      <c r="S27">
        <f ca="1" t="shared" si="6"/>
        <v>-2657001.63750702</v>
      </c>
    </row>
    <row r="28" ht="16.35" spans="1:19">
      <c r="A28" s="28" t="s">
        <v>262</v>
      </c>
      <c r="B28" s="29">
        <v>3</v>
      </c>
      <c r="C28">
        <f ca="1">数据表!K39</f>
        <v>13.9691666666961</v>
      </c>
      <c r="D28">
        <f ca="1" t="shared" si="0"/>
        <v>1</v>
      </c>
      <c r="E28">
        <f ca="1" t="shared" si="1"/>
        <v>1</v>
      </c>
      <c r="F28">
        <f>G60</f>
        <v>2.5</v>
      </c>
      <c r="G28">
        <f>数据表!T28*100</f>
        <v>186912</v>
      </c>
      <c r="H28">
        <f ca="1">数据表!R28+C28*1500-B28*1500</f>
        <v>20953.7500000442</v>
      </c>
      <c r="I28">
        <f ca="1" t="shared" si="2"/>
        <v>8.92021714488365</v>
      </c>
      <c r="J28">
        <f>'倾向-优先级表'!E6</f>
        <v>158.97</v>
      </c>
      <c r="K28">
        <f ca="1" t="shared" si="7"/>
        <v>-3144105.63750702</v>
      </c>
      <c r="L28">
        <f ca="1" t="shared" si="3"/>
        <v>28953.7500000442</v>
      </c>
      <c r="M28">
        <f ca="1" t="shared" si="4"/>
        <v>6.45553684754875</v>
      </c>
      <c r="N28">
        <f ca="1">G34</f>
        <v>108.396178800419</v>
      </c>
      <c r="O28">
        <f ca="1" t="shared" si="5"/>
        <v>-2951563.86194742</v>
      </c>
      <c r="P28">
        <f ca="1">IF(E28=1,数据表!U28,IF(D28=1,K28,O28))</f>
        <v>-528453</v>
      </c>
      <c r="Q28">
        <f ca="1">COUNTIF(P3:P27,"&gt;="&amp;P28)+1+COUNTIF(P29:P29,"&gt;"&amp;P28)</f>
        <v>18</v>
      </c>
      <c r="R28" t="s">
        <v>261</v>
      </c>
      <c r="S28">
        <f ca="1" t="shared" si="6"/>
        <v>-528453</v>
      </c>
    </row>
    <row r="29" spans="1:19">
      <c r="A29" t="s">
        <v>368</v>
      </c>
      <c r="B29" s="30">
        <v>1</v>
      </c>
      <c r="C29">
        <f ca="1">数据表!K39</f>
        <v>13.9691666666961</v>
      </c>
      <c r="D29">
        <f ca="1" t="shared" si="0"/>
        <v>1</v>
      </c>
      <c r="E29">
        <f ca="1" t="shared" si="1"/>
        <v>1</v>
      </c>
      <c r="F29">
        <f>F28</f>
        <v>2.5</v>
      </c>
      <c r="G29">
        <v>0</v>
      </c>
      <c r="H29">
        <f ca="1">H7</f>
        <v>20953.7500000442</v>
      </c>
      <c r="I29">
        <v>0</v>
      </c>
      <c r="J29">
        <f>'倾向-优先级表'!E6</f>
        <v>158.97</v>
      </c>
      <c r="K29">
        <f ca="1" t="shared" si="7"/>
        <v>-3331017.63750702</v>
      </c>
      <c r="L29">
        <f ca="1">L7</f>
        <v>28953.7500000442</v>
      </c>
      <c r="O29">
        <f ca="1">-L29*N28</f>
        <v>-3138475.86194742</v>
      </c>
      <c r="P29">
        <f ca="1">IF(E29=1,数据表!W7,IF(D29=1,K29,O29))</f>
        <v>-238455</v>
      </c>
      <c r="Q29">
        <f ca="1">COUNTIF(P3:P28,"&gt;="&amp;P29)+1</f>
        <v>9</v>
      </c>
      <c r="R29" t="s">
        <v>369</v>
      </c>
      <c r="S29">
        <f ca="1" t="shared" si="6"/>
        <v>-238455</v>
      </c>
    </row>
    <row r="30" spans="2:2">
      <c r="B30" s="30"/>
    </row>
    <row r="31" spans="2:2">
      <c r="B31" s="30"/>
    </row>
    <row r="32" spans="4:5">
      <c r="D32" t="s">
        <v>370</v>
      </c>
      <c r="E32">
        <f ca="1">E34*'倾向-优先级表'!G115+'倾向-优先级表'!H115*F34</f>
        <v>29953.7500000442</v>
      </c>
    </row>
    <row r="33" spans="1:14">
      <c r="A33" t="s">
        <v>371</v>
      </c>
      <c r="B33" t="s">
        <v>372</v>
      </c>
      <c r="C33" t="s">
        <v>373</v>
      </c>
      <c r="D33" t="s">
        <v>374</v>
      </c>
      <c r="E33" t="s">
        <v>375</v>
      </c>
      <c r="F33" t="s">
        <v>376</v>
      </c>
      <c r="G33" t="s">
        <v>362</v>
      </c>
      <c r="H33" t="s">
        <v>116</v>
      </c>
      <c r="I33" t="s">
        <v>266</v>
      </c>
      <c r="K33" t="s">
        <v>268</v>
      </c>
      <c r="L33" t="s">
        <v>377</v>
      </c>
      <c r="M33" s="31" t="s">
        <v>378</v>
      </c>
      <c r="N33" s="31"/>
    </row>
    <row r="34" spans="1:13">
      <c r="A34">
        <f>白天模拟!Z28</f>
        <v>3157.69536030865</v>
      </c>
      <c r="B34">
        <f>白天模拟!AA28</f>
        <v>5019.66386308389</v>
      </c>
      <c r="C34">
        <f>夜晚模拟!Z28</f>
        <v>9348.76393309414</v>
      </c>
      <c r="D34">
        <f>夜晚模拟!AA28</f>
        <v>6415.94243920616</v>
      </c>
      <c r="E34">
        <f ca="1">数据表!K39</f>
        <v>13.9691666666961</v>
      </c>
      <c r="F34">
        <f>24-'倾向-优先级表'!J13</f>
        <v>6</v>
      </c>
      <c r="G34">
        <f ca="1">(B34*E34+D34*F34)/(A34*E34+C34*F34)*100</f>
        <v>108.396178800419</v>
      </c>
      <c r="H34">
        <f ca="1">(NOW()-INT(NOW()))*24</f>
        <v>9.86416666663717</v>
      </c>
      <c r="I34">
        <f>(当前时间项目推荐!C16-INT(当前时间项目推荐!C16))*24</f>
        <v>23.8333333333334</v>
      </c>
      <c r="J34">
        <f>IF(I34-'倾向-优先级表'!J13&lt;0,I34+24,I34)</f>
        <v>23.8333333333334</v>
      </c>
      <c r="K34">
        <f ca="1">J34-H34</f>
        <v>13.9691666666962</v>
      </c>
      <c r="L34">
        <f ca="1">K34/白天模拟!R28+1</f>
        <v>8.03074225426642</v>
      </c>
      <c r="M34">
        <f ca="1">COUNTIF(S3:S29,"&gt;0")</f>
        <v>6</v>
      </c>
    </row>
    <row r="35" spans="6:12">
      <c r="F35" s="31"/>
      <c r="G35" s="31"/>
      <c r="K35">
        <f ca="1">J34-H34</f>
        <v>13.9691666666962</v>
      </c>
      <c r="L35">
        <f>'倾向-优先级表'!I14</f>
        <v>13</v>
      </c>
    </row>
    <row r="36" spans="12:12">
      <c r="L36">
        <f>'倾向-优先级表'!N14</f>
        <v>13</v>
      </c>
    </row>
    <row r="37" spans="11:11">
      <c r="K37">
        <f ca="1">1+1/(白天模拟!R29+1)-1/L34</f>
        <v>0.975835301770309</v>
      </c>
    </row>
    <row r="38" spans="11:11">
      <c r="K38">
        <f ca="1">IF(K34&gt;2.5,L35,((K34*L35+(2.5-K34)*L36)/2.5))</f>
        <v>13</v>
      </c>
    </row>
    <row r="39" spans="10:11">
      <c r="J39" t="s">
        <v>312</v>
      </c>
      <c r="K39">
        <f ca="1">ROUND((K38-M34)*K37+M34,0)</f>
        <v>13</v>
      </c>
    </row>
    <row r="60" spans="6:9">
      <c r="F60" t="s">
        <v>379</v>
      </c>
      <c r="G60">
        <f>2.5</f>
        <v>2.5</v>
      </c>
      <c r="H60" t="s">
        <v>380</v>
      </c>
      <c r="I60" t="e">
        <f>IF(当前时间项目推荐!#REF!=0,0.92,0.85)</f>
        <v>#REF!</v>
      </c>
    </row>
    <row r="94" spans="23:25">
      <c r="W94" t="s">
        <v>212</v>
      </c>
      <c r="X94">
        <f>数据表!H3</f>
        <v>16</v>
      </c>
      <c r="Y94" t="e">
        <f>#REF!</f>
        <v>#REF!</v>
      </c>
    </row>
    <row r="95" spans="23:25">
      <c r="W95" t="s">
        <v>218</v>
      </c>
      <c r="X95">
        <f>数据表!H4</f>
        <v>23</v>
      </c>
      <c r="Y95" t="e">
        <f>#REF!</f>
        <v>#REF!</v>
      </c>
    </row>
    <row r="96" spans="23:25">
      <c r="W96" t="s">
        <v>229</v>
      </c>
      <c r="X96">
        <f>数据表!H5</f>
        <v>25</v>
      </c>
      <c r="Y96" t="e">
        <f>#REF!</f>
        <v>#REF!</v>
      </c>
    </row>
    <row r="97" spans="23:25">
      <c r="W97" t="s">
        <v>231</v>
      </c>
      <c r="X97">
        <f>数据表!H6</f>
        <v>11</v>
      </c>
      <c r="Y97" t="e">
        <f>#REF!</f>
        <v>#REF!</v>
      </c>
    </row>
    <row r="98" spans="23:25">
      <c r="W98" t="s">
        <v>232</v>
      </c>
      <c r="X98">
        <f>数据表!H7</f>
        <v>5</v>
      </c>
      <c r="Y98" t="e">
        <f>#REF!</f>
        <v>#REF!</v>
      </c>
    </row>
    <row r="99" spans="23:25">
      <c r="W99" t="s">
        <v>233</v>
      </c>
      <c r="X99">
        <f>数据表!H8</f>
        <v>6</v>
      </c>
      <c r="Y99" t="e">
        <f>#REF!</f>
        <v>#REF!</v>
      </c>
    </row>
    <row r="100" spans="23:25">
      <c r="W100" t="s">
        <v>235</v>
      </c>
      <c r="X100">
        <f>数据表!H9</f>
        <v>4</v>
      </c>
      <c r="Y100" t="e">
        <f>#REF!</f>
        <v>#REF!</v>
      </c>
    </row>
    <row r="101" spans="23:25">
      <c r="W101" t="s">
        <v>237</v>
      </c>
      <c r="X101">
        <f>数据表!H10</f>
        <v>1</v>
      </c>
      <c r="Y101" t="e">
        <f>#REF!</f>
        <v>#REF!</v>
      </c>
    </row>
    <row r="102" spans="23:25">
      <c r="W102" t="s">
        <v>238</v>
      </c>
      <c r="X102">
        <f>数据表!H11</f>
        <v>13</v>
      </c>
      <c r="Y102" t="e">
        <f>#REF!</f>
        <v>#REF!</v>
      </c>
    </row>
    <row r="103" spans="23:25">
      <c r="W103" t="s">
        <v>239</v>
      </c>
      <c r="X103">
        <f>数据表!H12</f>
        <v>19</v>
      </c>
      <c r="Y103" t="e">
        <f>#REF!</f>
        <v>#REF!</v>
      </c>
    </row>
    <row r="104" spans="23:25">
      <c r="W104" t="s">
        <v>240</v>
      </c>
      <c r="X104">
        <f>数据表!H13</f>
        <v>22</v>
      </c>
      <c r="Y104" t="e">
        <f>#REF!</f>
        <v>#REF!</v>
      </c>
    </row>
    <row r="105" spans="23:25">
      <c r="W105" t="s">
        <v>242</v>
      </c>
      <c r="X105">
        <f>数据表!H14</f>
        <v>3</v>
      </c>
      <c r="Y105" t="e">
        <f>#REF!</f>
        <v>#REF!</v>
      </c>
    </row>
    <row r="106" spans="23:25">
      <c r="W106" t="s">
        <v>243</v>
      </c>
      <c r="X106">
        <f>数据表!H15</f>
        <v>10</v>
      </c>
      <c r="Y106" t="e">
        <f>#REF!</f>
        <v>#REF!</v>
      </c>
    </row>
    <row r="107" spans="23:25">
      <c r="W107" t="s">
        <v>244</v>
      </c>
      <c r="X107">
        <f>数据表!H16</f>
        <v>18</v>
      </c>
      <c r="Y107" t="e">
        <f>#REF!</f>
        <v>#REF!</v>
      </c>
    </row>
    <row r="108" spans="23:25">
      <c r="W108" t="s">
        <v>245</v>
      </c>
      <c r="X108">
        <f>数据表!H17</f>
        <v>21</v>
      </c>
      <c r="Y108" t="e">
        <f>#REF!</f>
        <v>#REF!</v>
      </c>
    </row>
    <row r="109" spans="23:25">
      <c r="W109" t="s">
        <v>247</v>
      </c>
      <c r="X109">
        <f>数据表!H18</f>
        <v>2</v>
      </c>
      <c r="Y109" t="e">
        <f>#REF!</f>
        <v>#REF!</v>
      </c>
    </row>
    <row r="110" spans="23:25">
      <c r="W110" t="s">
        <v>248</v>
      </c>
      <c r="X110">
        <f>数据表!H19</f>
        <v>7</v>
      </c>
      <c r="Y110" t="e">
        <f>#REF!</f>
        <v>#REF!</v>
      </c>
    </row>
    <row r="111" spans="23:25">
      <c r="W111" s="30" t="s">
        <v>249</v>
      </c>
      <c r="X111">
        <f>数据表!H20</f>
        <v>14</v>
      </c>
      <c r="Y111" t="e">
        <f>#REF!</f>
        <v>#REF!</v>
      </c>
    </row>
    <row r="112" spans="23:25">
      <c r="W112" t="s">
        <v>250</v>
      </c>
      <c r="X112">
        <f>数据表!H21</f>
        <v>8</v>
      </c>
      <c r="Y112" t="e">
        <f>#REF!</f>
        <v>#REF!</v>
      </c>
    </row>
    <row r="113" spans="23:25">
      <c r="W113" t="s">
        <v>252</v>
      </c>
      <c r="X113">
        <f>数据表!H22</f>
        <v>12</v>
      </c>
      <c r="Y113" t="e">
        <f>#REF!</f>
        <v>#REF!</v>
      </c>
    </row>
    <row r="114" spans="23:25">
      <c r="W114" t="s">
        <v>253</v>
      </c>
      <c r="X114">
        <f>数据表!H23</f>
        <v>9</v>
      </c>
      <c r="Y114" t="e">
        <f>#REF!</f>
        <v>#REF!</v>
      </c>
    </row>
    <row r="115" spans="23:25">
      <c r="W115" t="s">
        <v>254</v>
      </c>
      <c r="X115">
        <f>数据表!H24</f>
        <v>15</v>
      </c>
      <c r="Y115" t="e">
        <f>#REF!</f>
        <v>#REF!</v>
      </c>
    </row>
    <row r="116" spans="23:25">
      <c r="W116" t="s">
        <v>256</v>
      </c>
      <c r="X116">
        <f>数据表!H25</f>
        <v>20</v>
      </c>
      <c r="Y116" t="e">
        <f>#REF!</f>
        <v>#REF!</v>
      </c>
    </row>
    <row r="117" spans="23:25">
      <c r="W117" t="s">
        <v>257</v>
      </c>
      <c r="X117">
        <f>数据表!H26</f>
        <v>24</v>
      </c>
      <c r="Y117" t="e">
        <f>#REF!</f>
        <v>#REF!</v>
      </c>
    </row>
    <row r="118" spans="23:25">
      <c r="W118" t="s">
        <v>259</v>
      </c>
      <c r="X118">
        <f>数据表!H27</f>
        <v>26</v>
      </c>
      <c r="Y118" t="e">
        <f>#REF!</f>
        <v>#REF!</v>
      </c>
    </row>
    <row r="119" spans="23:25">
      <c r="W119" t="s">
        <v>261</v>
      </c>
      <c r="X119">
        <f>数据表!H28</f>
        <v>17</v>
      </c>
      <c r="Y119" t="e">
        <f>#REF!</f>
        <v>#REF!</v>
      </c>
    </row>
  </sheetData>
  <mergeCells count="3">
    <mergeCell ref="A1:B1"/>
    <mergeCell ref="M33:N33"/>
    <mergeCell ref="F35:G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2022-06-14T02:03:26Z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2052-11.1.0.11744</vt:lpwstr>
  </property>
  <property fmtid="{D5CDD505-2E9C-101B-9397-08002B2CF9AE}" pid="4" name="KSOReadingLayout">
    <vt:bool>true</vt:bool>
  </property>
</Properties>
</file>